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15.xml" ContentType="application/vnd.openxmlformats-officedocument.drawingml.chart+xml"/>
  <Override PartName="/xl/drawings/drawing8.xml" ContentType="application/vnd.openxmlformats-officedocument.drawingml.chartshapes+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20" windowWidth="2880" windowHeight="5580"/>
  </bookViews>
  <sheets>
    <sheet name="Current version" sheetId="43" r:id="rId1"/>
    <sheet name="Colony" sheetId="2" r:id="rId2"/>
    <sheet name="About this model" sheetId="45" r:id="rId3"/>
    <sheet name="Necessary mite reduction" sheetId="21" r:id="rId4"/>
    <sheet name="Notes for this version" sheetId="36" r:id="rId5"/>
    <sheet name="Relative rates of increase" sheetId="38" r:id="rId6"/>
    <sheet name="Data to evaluate" sheetId="44" r:id="rId7"/>
  </sheets>
  <definedNames>
    <definedName name="abc" localSheetId="0">#REF!</definedName>
    <definedName name="abc">#REF!</definedName>
    <definedName name="abs" localSheetId="0">#REF!</definedName>
    <definedName name="abs">#REF!</definedName>
    <definedName name="x" localSheetId="0">#REF!</definedName>
    <definedName name="x">#REF!</definedName>
    <definedName name="xxx" localSheetId="0">#REF!</definedName>
    <definedName name="xxx">#REF!</definedName>
    <definedName name="xxx1" localSheetId="0">#REF!</definedName>
    <definedName name="xxx1">#REF!</definedName>
    <definedName name="z" localSheetId="0">#REF!</definedName>
    <definedName name="z">#REF!</definedName>
  </definedNames>
  <calcPr calcId="145621"/>
</workbook>
</file>

<file path=xl/calcChain.xml><?xml version="1.0" encoding="utf-8"?>
<calcChain xmlns="http://schemas.openxmlformats.org/spreadsheetml/2006/main">
  <c r="DL28" i="43" l="1"/>
  <c r="B33" i="43" l="1"/>
  <c r="D21" i="43"/>
  <c r="AZ33" i="43" l="1"/>
  <c r="AZ32" i="43"/>
  <c r="AZ31" i="43"/>
  <c r="AZ5" i="43"/>
  <c r="AZ6" i="43"/>
  <c r="AZ7" i="43"/>
  <c r="AZ8" i="43"/>
  <c r="AZ9" i="43"/>
  <c r="AZ10" i="43"/>
  <c r="AZ11" i="43"/>
  <c r="AZ12" i="43"/>
  <c r="AZ13" i="43"/>
  <c r="AZ14" i="43"/>
  <c r="AZ15" i="43"/>
  <c r="AZ16" i="43"/>
  <c r="AZ17" i="43"/>
  <c r="AZ18" i="43"/>
  <c r="AZ19" i="43"/>
  <c r="AZ20" i="43"/>
  <c r="AZ21" i="43"/>
  <c r="AZ22" i="43"/>
  <c r="AZ23" i="43"/>
  <c r="AZ24" i="43"/>
  <c r="AZ25" i="43"/>
  <c r="AZ26" i="43"/>
  <c r="AZ27" i="43"/>
  <c r="AZ28" i="43"/>
  <c r="AZ4" i="43"/>
  <c r="B42" i="43" l="1"/>
  <c r="B41" i="43"/>
  <c r="B39" i="43"/>
  <c r="B37" i="43"/>
  <c r="B36" i="43"/>
  <c r="B35" i="43"/>
  <c r="B34" i="43"/>
  <c r="B31" i="43"/>
  <c r="EL32" i="43" l="1"/>
  <c r="DP6" i="43" s="1"/>
  <c r="EM32" i="43"/>
  <c r="DP7" i="43" s="1"/>
  <c r="EN32" i="43"/>
  <c r="DP8" i="43" s="1"/>
  <c r="EO32" i="43"/>
  <c r="DP9" i="43" s="1"/>
  <c r="EP32" i="43"/>
  <c r="DP10" i="43" s="1"/>
  <c r="EQ32" i="43"/>
  <c r="DP11" i="43" s="1"/>
  <c r="ER32" i="43"/>
  <c r="DP12" i="43" s="1"/>
  <c r="ES32" i="43"/>
  <c r="DP13" i="43" s="1"/>
  <c r="ET32" i="43"/>
  <c r="DP14" i="43" s="1"/>
  <c r="EU32" i="43"/>
  <c r="DP15" i="43" s="1"/>
  <c r="EV32" i="43"/>
  <c r="DP16" i="43" s="1"/>
  <c r="EW32" i="43"/>
  <c r="DP17" i="43" s="1"/>
  <c r="EX32" i="43"/>
  <c r="DP18" i="43" s="1"/>
  <c r="EY32" i="43"/>
  <c r="DP19" i="43" s="1"/>
  <c r="EZ32" i="43"/>
  <c r="DP20" i="43" s="1"/>
  <c r="FA32" i="43"/>
  <c r="DP21" i="43" s="1"/>
  <c r="FB32" i="43"/>
  <c r="DP22" i="43" s="1"/>
  <c r="FC32" i="43"/>
  <c r="DP23" i="43" s="1"/>
  <c r="FD32" i="43"/>
  <c r="DP24" i="43" s="1"/>
  <c r="FE32" i="43"/>
  <c r="DP25" i="43" s="1"/>
  <c r="FF32" i="43"/>
  <c r="DP26" i="43" s="1"/>
  <c r="FG32" i="43"/>
  <c r="DP27" i="43" s="1"/>
  <c r="EK32" i="43"/>
  <c r="DP5" i="43" s="1"/>
  <c r="EJ32" i="43"/>
  <c r="DP4" i="43" l="1"/>
  <c r="AF17" i="2" l="1"/>
  <c r="AF29" i="2" s="1"/>
  <c r="AG29" i="2"/>
  <c r="AG1" i="2" l="1"/>
  <c r="AD6" i="2" l="1"/>
  <c r="AD10" i="2"/>
  <c r="AD14" i="2"/>
  <c r="DL14" i="43" s="1"/>
  <c r="AD18" i="2"/>
  <c r="DL18" i="43" s="1"/>
  <c r="AD22" i="2"/>
  <c r="DL22" i="43" s="1"/>
  <c r="AD26" i="2"/>
  <c r="AD7" i="2"/>
  <c r="AD11" i="2"/>
  <c r="AD15" i="2"/>
  <c r="DL15" i="43" s="1"/>
  <c r="AD19" i="2"/>
  <c r="DL19" i="43" s="1"/>
  <c r="AD23" i="2"/>
  <c r="DL23" i="43" s="1"/>
  <c r="AD27" i="2"/>
  <c r="AD8" i="2"/>
  <c r="AD12" i="2"/>
  <c r="AD16" i="2"/>
  <c r="DL16" i="43" s="1"/>
  <c r="AD20" i="2"/>
  <c r="DL20" i="43" s="1"/>
  <c r="AD24" i="2"/>
  <c r="DL24" i="43" s="1"/>
  <c r="AD4" i="2"/>
  <c r="AD5" i="2"/>
  <c r="AD9" i="2"/>
  <c r="AD13" i="2"/>
  <c r="AD17" i="2"/>
  <c r="DL17" i="43" s="1"/>
  <c r="AD21" i="2"/>
  <c r="DL21" i="43" s="1"/>
  <c r="AD25" i="2"/>
  <c r="DE4" i="43"/>
  <c r="CC106" i="43"/>
  <c r="CA106" i="43"/>
  <c r="CD106" i="43" s="1"/>
  <c r="CC105" i="43"/>
  <c r="CA105" i="43"/>
  <c r="CD105" i="43" s="1"/>
  <c r="CC104" i="43"/>
  <c r="CA104" i="43"/>
  <c r="CD104" i="43" s="1"/>
  <c r="CC103" i="43"/>
  <c r="CA103" i="43"/>
  <c r="CD103" i="43" s="1"/>
  <c r="CC102" i="43"/>
  <c r="CA102" i="43"/>
  <c r="CD102" i="43" s="1"/>
  <c r="CC101" i="43"/>
  <c r="CA101" i="43"/>
  <c r="CD101" i="43" s="1"/>
  <c r="CC100" i="43"/>
  <c r="CA100" i="43"/>
  <c r="CD100" i="43" s="1"/>
  <c r="CC99" i="43"/>
  <c r="CA99" i="43"/>
  <c r="CD99" i="43" s="1"/>
  <c r="CC98" i="43"/>
  <c r="CA98" i="43"/>
  <c r="CD98" i="43" s="1"/>
  <c r="CC97" i="43"/>
  <c r="CA97" i="43"/>
  <c r="CD97" i="43" s="1"/>
  <c r="CC96" i="43"/>
  <c r="CA96" i="43"/>
  <c r="CD96" i="43" s="1"/>
  <c r="CC95" i="43"/>
  <c r="CA95" i="43"/>
  <c r="CD95" i="43" s="1"/>
  <c r="CC94" i="43"/>
  <c r="CA94" i="43"/>
  <c r="CD94" i="43" s="1"/>
  <c r="BV94" i="43"/>
  <c r="CC93" i="43"/>
  <c r="CA93" i="43"/>
  <c r="CD93" i="43" s="1"/>
  <c r="BV93" i="43"/>
  <c r="CC92" i="43"/>
  <c r="CA92" i="43"/>
  <c r="CD92" i="43" s="1"/>
  <c r="BV92" i="43"/>
  <c r="CC91" i="43"/>
  <c r="CA91" i="43"/>
  <c r="CD91" i="43" s="1"/>
  <c r="BV91" i="43"/>
  <c r="CC90" i="43"/>
  <c r="CA90" i="43"/>
  <c r="CD90" i="43" s="1"/>
  <c r="CC89" i="43"/>
  <c r="CA89" i="43"/>
  <c r="CD89" i="43" s="1"/>
  <c r="CD88" i="43"/>
  <c r="CC88" i="43"/>
  <c r="CB87" i="43"/>
  <c r="BT78" i="43"/>
  <c r="BQ79" i="43" s="1"/>
  <c r="BQ76" i="43"/>
  <c r="BO77" i="43" s="1"/>
  <c r="BQ71" i="43"/>
  <c r="BO72" i="43" s="1"/>
  <c r="BO73" i="43" s="1"/>
  <c r="BV68" i="43"/>
  <c r="BV67" i="43"/>
  <c r="BV66" i="43"/>
  <c r="BV65" i="43"/>
  <c r="BV64" i="43"/>
  <c r="BV63" i="43"/>
  <c r="BV62" i="43"/>
  <c r="AG62" i="43"/>
  <c r="AH62" i="43" s="1"/>
  <c r="BV61" i="43"/>
  <c r="AH61" i="43"/>
  <c r="BV60" i="43"/>
  <c r="BV59" i="43"/>
  <c r="BV58" i="43"/>
  <c r="BV57" i="43"/>
  <c r="BV56" i="43"/>
  <c r="BV55" i="43"/>
  <c r="BV54" i="43"/>
  <c r="BV53" i="43"/>
  <c r="BP42" i="43"/>
  <c r="BP41" i="43"/>
  <c r="AZ40" i="43"/>
  <c r="BO39" i="43"/>
  <c r="BP39" i="43" s="1"/>
  <c r="AI39" i="43"/>
  <c r="AH39" i="43"/>
  <c r="AG39" i="43"/>
  <c r="BO35" i="43"/>
  <c r="BP35" i="43" s="1"/>
  <c r="BO34" i="43"/>
  <c r="BP34" i="43" s="1"/>
  <c r="BV38" i="43" s="1"/>
  <c r="BO33" i="43"/>
  <c r="BP33" i="43" s="1"/>
  <c r="BV37" i="43" s="1"/>
  <c r="BV32" i="43"/>
  <c r="BV33" i="43" s="1"/>
  <c r="BO32" i="43"/>
  <c r="BP32" i="43" s="1"/>
  <c r="BP63" i="43" s="1"/>
  <c r="BO31" i="43"/>
  <c r="BP31" i="43" s="1"/>
  <c r="CN11" i="43" s="1"/>
  <c r="CO11" i="43" s="1"/>
  <c r="BO30" i="43"/>
  <c r="BP30" i="43" s="1"/>
  <c r="BP54" i="43" s="1"/>
  <c r="CL29" i="43"/>
  <c r="BY29" i="43"/>
  <c r="BO29" i="43"/>
  <c r="CD27" i="43"/>
  <c r="CE27" i="43" s="1"/>
  <c r="BR27" i="43"/>
  <c r="BP27" i="43"/>
  <c r="BQ27" i="43" s="1"/>
  <c r="AC27" i="2"/>
  <c r="AL27" i="2" s="1"/>
  <c r="CD26" i="43"/>
  <c r="CE26" i="43" s="1"/>
  <c r="CI26" i="43" s="1"/>
  <c r="CJ26" i="43" s="1"/>
  <c r="CK26" i="43" s="1"/>
  <c r="BR26" i="43"/>
  <c r="BS26" i="43" s="1"/>
  <c r="BU26" i="43" s="1"/>
  <c r="BP26" i="43"/>
  <c r="BQ26" i="43" s="1"/>
  <c r="CD25" i="43"/>
  <c r="CE25" i="43" s="1"/>
  <c r="BR25" i="43"/>
  <c r="BS25" i="43" s="1"/>
  <c r="BP25" i="43"/>
  <c r="BQ25" i="43" s="1"/>
  <c r="CD24" i="43"/>
  <c r="CE24" i="43" s="1"/>
  <c r="BR24" i="43"/>
  <c r="BS24" i="43" s="1"/>
  <c r="BP24" i="43"/>
  <c r="BQ24" i="43" s="1"/>
  <c r="CD23" i="43"/>
  <c r="CE23" i="43" s="1"/>
  <c r="CI23" i="43" s="1"/>
  <c r="CJ23" i="43" s="1"/>
  <c r="CK23" i="43" s="1"/>
  <c r="BR23" i="43"/>
  <c r="BS23" i="43" s="1"/>
  <c r="BW23" i="43" s="1"/>
  <c r="BP23" i="43"/>
  <c r="BQ23" i="43" s="1"/>
  <c r="CD22" i="43"/>
  <c r="CE22" i="43" s="1"/>
  <c r="CI22" i="43" s="1"/>
  <c r="CJ22" i="43" s="1"/>
  <c r="CK22" i="43" s="1"/>
  <c r="BR22" i="43"/>
  <c r="BS22" i="43" s="1"/>
  <c r="EB23" i="43" s="1"/>
  <c r="BP22" i="43"/>
  <c r="BQ22" i="43" s="1"/>
  <c r="CD21" i="43"/>
  <c r="CE21" i="43" s="1"/>
  <c r="BR21" i="43"/>
  <c r="BS21" i="43" s="1"/>
  <c r="EB22" i="43" s="1"/>
  <c r="BP21" i="43"/>
  <c r="BQ21" i="43" s="1"/>
  <c r="CD20" i="43"/>
  <c r="CE20" i="43" s="1"/>
  <c r="BR20" i="43"/>
  <c r="BS20" i="43" s="1"/>
  <c r="EB21" i="43" s="1"/>
  <c r="BP20" i="43"/>
  <c r="BQ20" i="43" s="1"/>
  <c r="CD19" i="43"/>
  <c r="CE19" i="43" s="1"/>
  <c r="BR19" i="43"/>
  <c r="BS19" i="43" s="1"/>
  <c r="EB20" i="43" s="1"/>
  <c r="BP19" i="43"/>
  <c r="BQ19" i="43" s="1"/>
  <c r="CD18" i="43"/>
  <c r="CE18" i="43" s="1"/>
  <c r="BR18" i="43"/>
  <c r="BS18" i="43" s="1"/>
  <c r="BW18" i="43" s="1"/>
  <c r="BP18" i="43"/>
  <c r="BQ18" i="43" s="1"/>
  <c r="CD17" i="43"/>
  <c r="CE17" i="43" s="1"/>
  <c r="BR17" i="43"/>
  <c r="BS17" i="43" s="1"/>
  <c r="BU17" i="43" s="1"/>
  <c r="BP17" i="43"/>
  <c r="BQ17" i="43" s="1"/>
  <c r="CD16" i="43"/>
  <c r="CE16" i="43" s="1"/>
  <c r="BR16" i="43"/>
  <c r="BS16" i="43" s="1"/>
  <c r="BW16" i="43" s="1"/>
  <c r="BP16" i="43"/>
  <c r="BQ16" i="43" s="1"/>
  <c r="CD15" i="43"/>
  <c r="CE15" i="43" s="1"/>
  <c r="BR15" i="43"/>
  <c r="BS15" i="43" s="1"/>
  <c r="EB16" i="43" s="1"/>
  <c r="BP15" i="43"/>
  <c r="BQ15" i="43" s="1"/>
  <c r="CD14" i="43"/>
  <c r="CE14" i="43" s="1"/>
  <c r="BR14" i="43"/>
  <c r="BS14" i="43" s="1"/>
  <c r="BP14" i="43"/>
  <c r="BQ14" i="43" s="1"/>
  <c r="CD13" i="43"/>
  <c r="CE13" i="43" s="1"/>
  <c r="BR13" i="43"/>
  <c r="BS13" i="43" s="1"/>
  <c r="ES30" i="43" s="1"/>
  <c r="BP13" i="43"/>
  <c r="BQ13" i="43" s="1"/>
  <c r="CD12" i="43"/>
  <c r="CE12" i="43" s="1"/>
  <c r="BR12" i="43"/>
  <c r="BP12" i="43"/>
  <c r="BQ12" i="43" s="1"/>
  <c r="CD11" i="43"/>
  <c r="CE11" i="43" s="1"/>
  <c r="BR11" i="43"/>
  <c r="BS11" i="43" s="1"/>
  <c r="EQ30" i="43" s="1"/>
  <c r="BP11" i="43"/>
  <c r="BQ11" i="43" s="1"/>
  <c r="CD10" i="43"/>
  <c r="CE10" i="43" s="1"/>
  <c r="BR10" i="43"/>
  <c r="BS10" i="43" s="1"/>
  <c r="BP10" i="43"/>
  <c r="BQ10" i="43" s="1"/>
  <c r="CD9" i="43"/>
  <c r="CE9" i="43" s="1"/>
  <c r="BR9" i="43"/>
  <c r="BS9" i="43" s="1"/>
  <c r="BP9" i="43"/>
  <c r="BQ9" i="43" s="1"/>
  <c r="CD8" i="43"/>
  <c r="CE8" i="43" s="1"/>
  <c r="BR8" i="43"/>
  <c r="BP8" i="43"/>
  <c r="BQ8" i="43" s="1"/>
  <c r="CD7" i="43"/>
  <c r="CE7" i="43" s="1"/>
  <c r="BR7" i="43"/>
  <c r="BS7" i="43" s="1"/>
  <c r="BP7" i="43"/>
  <c r="BQ7" i="43" s="1"/>
  <c r="AC7" i="2"/>
  <c r="AL7" i="2" s="1"/>
  <c r="CD6" i="43"/>
  <c r="CE6" i="43" s="1"/>
  <c r="BR6" i="43"/>
  <c r="BS6" i="43" s="1"/>
  <c r="BW6" i="43" s="1"/>
  <c r="BP6" i="43"/>
  <c r="BQ6" i="43" s="1"/>
  <c r="CD5" i="43"/>
  <c r="CE5" i="43" s="1"/>
  <c r="BR5" i="43"/>
  <c r="BP5" i="43"/>
  <c r="BQ5" i="43" s="1"/>
  <c r="CD4" i="43"/>
  <c r="CE4" i="43" s="1"/>
  <c r="BR4" i="43"/>
  <c r="BS4" i="43" s="1"/>
  <c r="BP4" i="43"/>
  <c r="BQ4" i="43" s="1"/>
  <c r="BD3" i="43"/>
  <c r="EI48" i="43" l="1"/>
  <c r="AC19" i="2"/>
  <c r="AL19" i="2" s="1"/>
  <c r="EI49" i="43"/>
  <c r="AC20" i="2"/>
  <c r="AL20" i="2" s="1"/>
  <c r="EI51" i="43"/>
  <c r="AC22" i="2"/>
  <c r="AL22" i="2" s="1"/>
  <c r="EI52" i="43"/>
  <c r="AC23" i="2"/>
  <c r="AL23" i="2" s="1"/>
  <c r="EI53" i="43"/>
  <c r="AC24" i="2"/>
  <c r="AL24" i="2" s="1"/>
  <c r="EI54" i="43"/>
  <c r="AC25" i="2"/>
  <c r="AL25" i="2" s="1"/>
  <c r="EI33" i="43"/>
  <c r="AC4" i="2"/>
  <c r="AL4" i="2" s="1"/>
  <c r="EI47" i="43"/>
  <c r="AC18" i="2"/>
  <c r="AL18" i="2" s="1"/>
  <c r="EI50" i="43"/>
  <c r="AC21" i="2"/>
  <c r="AL21" i="2" s="1"/>
  <c r="DT26" i="43"/>
  <c r="AC26" i="2"/>
  <c r="AL26" i="2" s="1"/>
  <c r="EI34" i="43"/>
  <c r="AC5" i="2"/>
  <c r="AL5" i="2" s="1"/>
  <c r="EI35" i="43"/>
  <c r="AC6" i="2"/>
  <c r="AL6" i="2" s="1"/>
  <c r="EI37" i="43"/>
  <c r="AC8" i="2"/>
  <c r="AL8" i="2" s="1"/>
  <c r="EI38" i="43"/>
  <c r="AC9" i="2"/>
  <c r="AL9" i="2" s="1"/>
  <c r="EI39" i="43"/>
  <c r="AC10" i="2"/>
  <c r="AL10" i="2" s="1"/>
  <c r="EI40" i="43"/>
  <c r="AC11" i="2"/>
  <c r="AL11" i="2" s="1"/>
  <c r="EI41" i="43"/>
  <c r="AC12" i="2"/>
  <c r="AL12" i="2" s="1"/>
  <c r="EI42" i="43"/>
  <c r="AC13" i="2"/>
  <c r="AL13" i="2" s="1"/>
  <c r="EI43" i="43"/>
  <c r="AC14" i="2"/>
  <c r="AL14" i="2" s="1"/>
  <c r="EI44" i="43"/>
  <c r="AC15" i="2"/>
  <c r="AL15" i="2" s="1"/>
  <c r="EI45" i="43"/>
  <c r="AC16" i="2"/>
  <c r="AL16" i="2" s="1"/>
  <c r="DT17" i="43"/>
  <c r="AC17" i="2"/>
  <c r="AL17" i="2" s="1"/>
  <c r="BO14" i="43"/>
  <c r="CF12" i="43"/>
  <c r="CV12" i="43" s="1"/>
  <c r="CF8" i="43"/>
  <c r="CV8" i="43" s="1"/>
  <c r="CN7" i="43"/>
  <c r="CO7" i="43" s="1"/>
  <c r="CN6" i="43"/>
  <c r="CO6" i="43" s="1"/>
  <c r="BO79" i="43"/>
  <c r="CN9" i="43"/>
  <c r="CO9" i="43" s="1"/>
  <c r="BP29" i="43"/>
  <c r="CY14" i="43" s="1"/>
  <c r="BO6" i="43"/>
  <c r="BO12" i="43"/>
  <c r="BO22" i="43"/>
  <c r="BO8" i="43"/>
  <c r="BO10" i="43"/>
  <c r="BO20" i="43"/>
  <c r="BO16" i="43"/>
  <c r="BO18" i="43"/>
  <c r="AG63" i="43"/>
  <c r="AG64" i="43" s="1"/>
  <c r="BO5" i="43"/>
  <c r="DT4" i="43"/>
  <c r="BO11" i="43"/>
  <c r="BO13" i="43"/>
  <c r="BO15" i="43"/>
  <c r="BO19" i="43"/>
  <c r="BO21" i="43"/>
  <c r="BO23" i="43"/>
  <c r="D34" i="38"/>
  <c r="D37" i="38"/>
  <c r="D36" i="38"/>
  <c r="D33" i="38"/>
  <c r="D38" i="38"/>
  <c r="D40" i="38"/>
  <c r="D42" i="38"/>
  <c r="D44" i="38"/>
  <c r="D46" i="38"/>
  <c r="D48" i="38"/>
  <c r="D51" i="38"/>
  <c r="D31" i="38"/>
  <c r="D35" i="38"/>
  <c r="D43" i="38"/>
  <c r="D52" i="38"/>
  <c r="D39" i="38"/>
  <c r="D41" i="38"/>
  <c r="D45" i="38"/>
  <c r="D47" i="38"/>
  <c r="D49" i="38"/>
  <c r="D32" i="38"/>
  <c r="D50" i="38"/>
  <c r="D53" i="38"/>
  <c r="CN15" i="43"/>
  <c r="CO15" i="43" s="1"/>
  <c r="CN20" i="43"/>
  <c r="CO20" i="43" s="1"/>
  <c r="CF7" i="43"/>
  <c r="CV7" i="43" s="1"/>
  <c r="CN23" i="43"/>
  <c r="CO23" i="43" s="1"/>
  <c r="CN12" i="43"/>
  <c r="CO12" i="43" s="1"/>
  <c r="CN18" i="43"/>
  <c r="CO18" i="43" s="1"/>
  <c r="BS8" i="43"/>
  <c r="EN30" i="43" s="1"/>
  <c r="BS5" i="43"/>
  <c r="EB6" i="43" s="1"/>
  <c r="CN8" i="43"/>
  <c r="CO8" i="43" s="1"/>
  <c r="CN10" i="43"/>
  <c r="CO10" i="43" s="1"/>
  <c r="CN14" i="43"/>
  <c r="CO14" i="43" s="1"/>
  <c r="CN16" i="43"/>
  <c r="CO16" i="43" s="1"/>
  <c r="CN19" i="43"/>
  <c r="CO19" i="43" s="1"/>
  <c r="CN21" i="43"/>
  <c r="CO21" i="43" s="1"/>
  <c r="CN24" i="43"/>
  <c r="CO24" i="43" s="1"/>
  <c r="CN25" i="43"/>
  <c r="CO25" i="43" s="1"/>
  <c r="CN13" i="43"/>
  <c r="CO13" i="43" s="1"/>
  <c r="CN17" i="43"/>
  <c r="CO17" i="43" s="1"/>
  <c r="CN22" i="43"/>
  <c r="CO22" i="43" s="1"/>
  <c r="CN4" i="43"/>
  <c r="CO4" i="43" s="1"/>
  <c r="CN5" i="43"/>
  <c r="CO5" i="43" s="1"/>
  <c r="BW15" i="43"/>
  <c r="BW22" i="43"/>
  <c r="BW21" i="43"/>
  <c r="EB18" i="43"/>
  <c r="BT17" i="43"/>
  <c r="BX17" i="43" s="1"/>
  <c r="BW19" i="43"/>
  <c r="BW20" i="43"/>
  <c r="BT7" i="43"/>
  <c r="BX7" i="43" s="1"/>
  <c r="CL7" i="43" s="1"/>
  <c r="EP30" i="43"/>
  <c r="EB11" i="43"/>
  <c r="CC10" i="43"/>
  <c r="CQ10" i="43" s="1"/>
  <c r="BW10" i="43"/>
  <c r="EC7" i="43"/>
  <c r="EC9" i="43"/>
  <c r="BT9" i="43"/>
  <c r="CF9" i="43"/>
  <c r="BU10" i="43"/>
  <c r="BT4" i="43"/>
  <c r="CF4" i="43"/>
  <c r="CI4" i="43"/>
  <c r="CJ4" i="43" s="1"/>
  <c r="CK4" i="43" s="1"/>
  <c r="EM30" i="43"/>
  <c r="BW7" i="43"/>
  <c r="EB8" i="43"/>
  <c r="CC7" i="43"/>
  <c r="CQ7" i="43" s="1"/>
  <c r="BU7" i="43"/>
  <c r="EO30" i="43"/>
  <c r="CC9" i="43"/>
  <c r="CQ9" i="43" s="1"/>
  <c r="BU9" i="43"/>
  <c r="EB10" i="43"/>
  <c r="BW9" i="43"/>
  <c r="CF11" i="43"/>
  <c r="CF13" i="43"/>
  <c r="ET30" i="43"/>
  <c r="CC14" i="43"/>
  <c r="CQ14" i="43" s="1"/>
  <c r="BW14" i="43"/>
  <c r="EB15" i="43"/>
  <c r="BU14" i="43"/>
  <c r="EJ30" i="43"/>
  <c r="CC4" i="43"/>
  <c r="CQ4" i="43" s="1"/>
  <c r="BU4" i="43"/>
  <c r="EB5" i="43"/>
  <c r="BW4" i="43"/>
  <c r="CF5" i="43"/>
  <c r="EI36" i="43"/>
  <c r="BO7" i="43"/>
  <c r="DT7" i="43"/>
  <c r="CI5" i="43"/>
  <c r="CJ5" i="43" s="1"/>
  <c r="CK5" i="43" s="1"/>
  <c r="EL30" i="43"/>
  <c r="EB7" i="43"/>
  <c r="CC6" i="43"/>
  <c r="CQ6" i="43" s="1"/>
  <c r="BU6" i="43"/>
  <c r="CF6" i="43"/>
  <c r="EC8" i="43"/>
  <c r="CF10" i="43"/>
  <c r="CF14" i="43"/>
  <c r="BO4" i="43"/>
  <c r="DT5" i="43"/>
  <c r="BT6" i="43"/>
  <c r="DT6" i="43"/>
  <c r="EC6" i="43"/>
  <c r="BO9" i="43"/>
  <c r="EC10" i="43"/>
  <c r="BT10" i="43"/>
  <c r="BW11" i="43"/>
  <c r="CC11" i="43"/>
  <c r="CQ11" i="43" s="1"/>
  <c r="BS12" i="43"/>
  <c r="BT12" i="43" s="1"/>
  <c r="BU13" i="43"/>
  <c r="EC14" i="43"/>
  <c r="BT14" i="43"/>
  <c r="EV30" i="43"/>
  <c r="EB17" i="43"/>
  <c r="CC16" i="43"/>
  <c r="CQ16" i="43" s="1"/>
  <c r="BU16" i="43"/>
  <c r="CF16" i="43"/>
  <c r="EC18" i="43"/>
  <c r="BT18" i="43"/>
  <c r="EC24" i="43"/>
  <c r="BT24" i="43"/>
  <c r="EC25" i="43"/>
  <c r="EC11" i="43"/>
  <c r="BT11" i="43"/>
  <c r="DT9" i="43"/>
  <c r="EC13" i="43"/>
  <c r="BT13" i="43"/>
  <c r="EB14" i="43"/>
  <c r="CF17" i="43"/>
  <c r="EC5" i="43"/>
  <c r="DT8" i="43"/>
  <c r="BU11" i="43"/>
  <c r="EC12" i="43"/>
  <c r="EB12" i="43"/>
  <c r="BW13" i="43"/>
  <c r="CC13" i="43"/>
  <c r="CQ13" i="43" s="1"/>
  <c r="EU30" i="43"/>
  <c r="CC15" i="43"/>
  <c r="CQ15" i="43" s="1"/>
  <c r="BU15" i="43"/>
  <c r="CF15" i="43"/>
  <c r="CF24" i="43"/>
  <c r="CI24" i="43"/>
  <c r="CJ24" i="43" s="1"/>
  <c r="CK24" i="43" s="1"/>
  <c r="DT10" i="43"/>
  <c r="DT11" i="43"/>
  <c r="DT12" i="43"/>
  <c r="DT13" i="43"/>
  <c r="DT14" i="43"/>
  <c r="BT15" i="43"/>
  <c r="DT15" i="43"/>
  <c r="EC15" i="43"/>
  <c r="BT16" i="43"/>
  <c r="DT16" i="43"/>
  <c r="EC16" i="43"/>
  <c r="ED16" i="43" s="1"/>
  <c r="EC17" i="43"/>
  <c r="CC19" i="43"/>
  <c r="CQ19" i="43" s="1"/>
  <c r="BU19" i="43"/>
  <c r="EY30" i="43"/>
  <c r="CF19" i="43"/>
  <c r="FA30" i="43"/>
  <c r="CC21" i="43"/>
  <c r="CQ21" i="43" s="1"/>
  <c r="BU21" i="43"/>
  <c r="CF21" i="43"/>
  <c r="FC30" i="43"/>
  <c r="EB24" i="43"/>
  <c r="CC23" i="43"/>
  <c r="CQ23" i="43" s="1"/>
  <c r="BU23" i="43"/>
  <c r="CF23" i="43"/>
  <c r="FD30" i="43"/>
  <c r="EB25" i="43"/>
  <c r="CC24" i="43"/>
  <c r="CQ24" i="43" s="1"/>
  <c r="BU24" i="43"/>
  <c r="BW24" i="43"/>
  <c r="EX30" i="43"/>
  <c r="CC18" i="43"/>
  <c r="CQ18" i="43" s="1"/>
  <c r="EB19" i="43"/>
  <c r="FE30" i="43"/>
  <c r="EB26" i="43"/>
  <c r="BW25" i="43"/>
  <c r="CC25" i="43"/>
  <c r="CQ25" i="43" s="1"/>
  <c r="BU25" i="43"/>
  <c r="EI46" i="43"/>
  <c r="BO17" i="43"/>
  <c r="EW30" i="43"/>
  <c r="BW17" i="43"/>
  <c r="CC17" i="43"/>
  <c r="CQ17" i="43" s="1"/>
  <c r="BU18" i="43"/>
  <c r="CF18" i="43"/>
  <c r="EZ30" i="43"/>
  <c r="CC20" i="43"/>
  <c r="CQ20" i="43" s="1"/>
  <c r="BU20" i="43"/>
  <c r="CF20" i="43"/>
  <c r="FB30" i="43"/>
  <c r="CC22" i="43"/>
  <c r="CQ22" i="43" s="1"/>
  <c r="BU22" i="43"/>
  <c r="CF22" i="43"/>
  <c r="EC26" i="43"/>
  <c r="BT26" i="43"/>
  <c r="BS27" i="43"/>
  <c r="DT18" i="43"/>
  <c r="BT19" i="43"/>
  <c r="DT19" i="43"/>
  <c r="EC19" i="43"/>
  <c r="BT20" i="43"/>
  <c r="DT20" i="43"/>
  <c r="EC20" i="43"/>
  <c r="ED20" i="43" s="1"/>
  <c r="BT21" i="43"/>
  <c r="DT21" i="43"/>
  <c r="EC21" i="43"/>
  <c r="ED21" i="43" s="1"/>
  <c r="BT22" i="43"/>
  <c r="DT22" i="43"/>
  <c r="EC22" i="43"/>
  <c r="ED22" i="43" s="1"/>
  <c r="BT23" i="43"/>
  <c r="DT23" i="43"/>
  <c r="EC23" i="43"/>
  <c r="ED23" i="43" s="1"/>
  <c r="BO24" i="43"/>
  <c r="DT24" i="43"/>
  <c r="CI27" i="43"/>
  <c r="CJ27" i="43" s="1"/>
  <c r="CK27" i="43" s="1"/>
  <c r="CF27" i="43"/>
  <c r="DT28" i="43"/>
  <c r="BO28" i="43"/>
  <c r="CF25" i="43"/>
  <c r="CI25" i="43"/>
  <c r="CJ25" i="43" s="1"/>
  <c r="CK25" i="43" s="1"/>
  <c r="BT25" i="43"/>
  <c r="CF26" i="43"/>
  <c r="EI56" i="43"/>
  <c r="BO27" i="43"/>
  <c r="EC27" i="43"/>
  <c r="DT27" i="43"/>
  <c r="BP62" i="43"/>
  <c r="BP65" i="43" s="1"/>
  <c r="BP66" i="43" s="1"/>
  <c r="BP67" i="43" s="1"/>
  <c r="CN28" i="43"/>
  <c r="CO28" i="43" s="1"/>
  <c r="CN27" i="43"/>
  <c r="CO27" i="43" s="1"/>
  <c r="CN26" i="43"/>
  <c r="CO26" i="43" s="1"/>
  <c r="BO25" i="43"/>
  <c r="DT25" i="43"/>
  <c r="EI55" i="43"/>
  <c r="BO26" i="43"/>
  <c r="FF30" i="43"/>
  <c r="EB27" i="43"/>
  <c r="BW26" i="43"/>
  <c r="CC26" i="43"/>
  <c r="CQ26" i="43" s="1"/>
  <c r="AH63" i="43"/>
  <c r="CY7" i="43" l="1"/>
  <c r="BY30" i="43"/>
  <c r="BY31" i="43" s="1"/>
  <c r="CY16" i="43"/>
  <c r="CY18" i="43"/>
  <c r="CY9" i="43"/>
  <c r="CY5" i="43"/>
  <c r="CY21" i="43"/>
  <c r="CY26" i="43"/>
  <c r="CY20" i="43"/>
  <c r="CY6" i="43"/>
  <c r="CY25" i="43"/>
  <c r="BY32" i="43"/>
  <c r="BY33" i="43" s="1"/>
  <c r="CY17" i="43"/>
  <c r="CY15" i="43"/>
  <c r="CY13" i="43"/>
  <c r="BP53" i="43"/>
  <c r="BP56" i="43" s="1"/>
  <c r="BP57" i="43" s="1"/>
  <c r="BW68" i="43" s="1"/>
  <c r="CY19" i="43"/>
  <c r="CY4" i="43"/>
  <c r="CY8" i="43"/>
  <c r="CY24" i="43"/>
  <c r="CY28" i="43"/>
  <c r="CC8" i="43"/>
  <c r="CQ8" i="43" s="1"/>
  <c r="CY27" i="43"/>
  <c r="CY22" i="43"/>
  <c r="CY23" i="43"/>
  <c r="CY10" i="43"/>
  <c r="CY12" i="43"/>
  <c r="CY11" i="43"/>
  <c r="BT8" i="43"/>
  <c r="DB8" i="43" s="1"/>
  <c r="BT5" i="43"/>
  <c r="DB5" i="43" s="1"/>
  <c r="BW8" i="43"/>
  <c r="EB9" i="43"/>
  <c r="ED9" i="43" s="1"/>
  <c r="EE9" i="43" s="1"/>
  <c r="BU5" i="43"/>
  <c r="ED18" i="43"/>
  <c r="EE18" i="43" s="1"/>
  <c r="ED6" i="43"/>
  <c r="EE6" i="43" s="1"/>
  <c r="BU8" i="43"/>
  <c r="ED7" i="43"/>
  <c r="EE7" i="43" s="1"/>
  <c r="DB17" i="43"/>
  <c r="BW5" i="43"/>
  <c r="CC5" i="43"/>
  <c r="CQ5" i="43" s="1"/>
  <c r="DB7" i="43"/>
  <c r="EK30" i="43"/>
  <c r="ED27" i="43"/>
  <c r="EE27" i="43" s="1"/>
  <c r="CW7" i="43"/>
  <c r="BY7" i="43"/>
  <c r="BZ7" i="43" s="1"/>
  <c r="CA7" i="43" s="1"/>
  <c r="CG7" i="43" s="1"/>
  <c r="CP7" i="43" s="1"/>
  <c r="ED26" i="43"/>
  <c r="EE26" i="43" s="1"/>
  <c r="ED25" i="43"/>
  <c r="EE25" i="43" s="1"/>
  <c r="ED14" i="43"/>
  <c r="EE14" i="43" s="1"/>
  <c r="EE16" i="43"/>
  <c r="EE22" i="43"/>
  <c r="EE23" i="43"/>
  <c r="EE20" i="43"/>
  <c r="DB21" i="43"/>
  <c r="BX21" i="43"/>
  <c r="CV22" i="43"/>
  <c r="CV18" i="43"/>
  <c r="CV23" i="43"/>
  <c r="ED24" i="43"/>
  <c r="ED12" i="43"/>
  <c r="DB11" i="43"/>
  <c r="BX11" i="43"/>
  <c r="CV16" i="43"/>
  <c r="ED17" i="43"/>
  <c r="ER30" i="43"/>
  <c r="EB13" i="43"/>
  <c r="ED13" i="43" s="1"/>
  <c r="BU12" i="43"/>
  <c r="BW12" i="43"/>
  <c r="CC12" i="43"/>
  <c r="CQ12" i="43" s="1"/>
  <c r="DB10" i="43"/>
  <c r="BX10" i="43"/>
  <c r="CV5" i="43"/>
  <c r="ED5" i="43"/>
  <c r="CV13" i="43"/>
  <c r="CV11" i="43"/>
  <c r="ED8" i="43"/>
  <c r="CV9" i="43"/>
  <c r="ED11" i="43"/>
  <c r="DB22" i="43"/>
  <c r="BX22" i="43"/>
  <c r="CV19" i="43"/>
  <c r="CV24" i="43"/>
  <c r="CV15" i="43"/>
  <c r="CV17" i="43"/>
  <c r="EE21" i="43"/>
  <c r="DB13" i="43"/>
  <c r="BX13" i="43"/>
  <c r="DB18" i="43"/>
  <c r="BX18" i="43"/>
  <c r="CV10" i="43"/>
  <c r="CV6" i="43"/>
  <c r="DB9" i="43"/>
  <c r="BX9" i="43"/>
  <c r="DB25" i="43"/>
  <c r="BX25" i="43"/>
  <c r="CV25" i="43"/>
  <c r="BW27" i="43"/>
  <c r="FG30" i="43"/>
  <c r="EB28" i="43"/>
  <c r="BU27" i="43"/>
  <c r="BT27" i="43"/>
  <c r="CC27" i="43"/>
  <c r="CQ27" i="43" s="1"/>
  <c r="AG65" i="43"/>
  <c r="AH64" i="43"/>
  <c r="DB23" i="43"/>
  <c r="BX23" i="43"/>
  <c r="DB19" i="43"/>
  <c r="BX19" i="43"/>
  <c r="BX26" i="43"/>
  <c r="DB26" i="43"/>
  <c r="CV20" i="43"/>
  <c r="DB15" i="43"/>
  <c r="BX15" i="43"/>
  <c r="DB12" i="43"/>
  <c r="BX12" i="43"/>
  <c r="CV14" i="43"/>
  <c r="ED15" i="43"/>
  <c r="CV4" i="43"/>
  <c r="CV26" i="43"/>
  <c r="CV27" i="43"/>
  <c r="DB20" i="43"/>
  <c r="BX20" i="43"/>
  <c r="ED19" i="43"/>
  <c r="CV21" i="43"/>
  <c r="DB16" i="43"/>
  <c r="BX16" i="43"/>
  <c r="CW17" i="43"/>
  <c r="CL17" i="43"/>
  <c r="BY17" i="43"/>
  <c r="BZ17" i="43" s="1"/>
  <c r="BX24" i="43"/>
  <c r="DB24" i="43"/>
  <c r="DB14" i="43"/>
  <c r="BX14" i="43"/>
  <c r="DB6" i="43"/>
  <c r="BX6" i="43"/>
  <c r="ED10" i="43"/>
  <c r="DB4" i="43"/>
  <c r="BX4" i="43"/>
  <c r="BX8" i="43" l="1"/>
  <c r="CW8" i="43" s="1"/>
  <c r="BW54" i="43"/>
  <c r="BW60" i="43"/>
  <c r="BW55" i="43"/>
  <c r="BW63" i="43"/>
  <c r="BW64" i="43"/>
  <c r="BW53" i="43"/>
  <c r="BP58" i="43"/>
  <c r="BW62" i="43"/>
  <c r="BW59" i="43"/>
  <c r="BW57" i="43"/>
  <c r="BW61" i="43"/>
  <c r="BW56" i="43"/>
  <c r="BW67" i="43"/>
  <c r="BW65" i="43"/>
  <c r="BW58" i="43"/>
  <c r="BW66" i="43"/>
  <c r="BP59" i="43"/>
  <c r="BX5" i="43"/>
  <c r="CW5" i="43" s="1"/>
  <c r="CL6" i="43"/>
  <c r="BY6" i="43"/>
  <c r="BZ6" i="43" s="1"/>
  <c r="CA6" i="43" s="1"/>
  <c r="CG6" i="43" s="1"/>
  <c r="CW6" i="43"/>
  <c r="EE19" i="43"/>
  <c r="EE15" i="43"/>
  <c r="CW12" i="43"/>
  <c r="CL12" i="43"/>
  <c r="BY12" i="43"/>
  <c r="BZ12" i="43" s="1"/>
  <c r="BX27" i="43"/>
  <c r="DB27" i="43"/>
  <c r="CW25" i="43"/>
  <c r="BY25" i="43"/>
  <c r="BZ25" i="43" s="1"/>
  <c r="CL25" i="43"/>
  <c r="CL18" i="43"/>
  <c r="BY18" i="43"/>
  <c r="BZ18" i="43" s="1"/>
  <c r="CW18" i="43"/>
  <c r="EE17" i="43"/>
  <c r="CW11" i="43"/>
  <c r="CL11" i="43"/>
  <c r="BY11" i="43"/>
  <c r="BZ11" i="43" s="1"/>
  <c r="EE12" i="43"/>
  <c r="BY24" i="43"/>
  <c r="BZ24" i="43" s="1"/>
  <c r="CW24" i="43"/>
  <c r="CL24" i="43"/>
  <c r="CL23" i="43"/>
  <c r="BY23" i="43"/>
  <c r="BZ23" i="43" s="1"/>
  <c r="CW23" i="43"/>
  <c r="EE5" i="43"/>
  <c r="CW10" i="43"/>
  <c r="BY10" i="43"/>
  <c r="BZ10" i="43" s="1"/>
  <c r="CL10" i="43"/>
  <c r="EE24" i="43"/>
  <c r="CL21" i="43"/>
  <c r="BY21" i="43"/>
  <c r="BZ21" i="43" s="1"/>
  <c r="CW21" i="43"/>
  <c r="EE10" i="43"/>
  <c r="CL14" i="43"/>
  <c r="CW14" i="43"/>
  <c r="BY14" i="43"/>
  <c r="BZ14" i="43" s="1"/>
  <c r="CL15" i="43"/>
  <c r="BY15" i="43"/>
  <c r="BZ15" i="43" s="1"/>
  <c r="CW15" i="43"/>
  <c r="CL26" i="43"/>
  <c r="CW26" i="43"/>
  <c r="BY26" i="43"/>
  <c r="BZ26" i="43" s="1"/>
  <c r="AG66" i="43"/>
  <c r="AH65" i="43"/>
  <c r="BY9" i="43"/>
  <c r="BZ9" i="43" s="1"/>
  <c r="CW9" i="43"/>
  <c r="CL9" i="43"/>
  <c r="CW13" i="43"/>
  <c r="BY13" i="43"/>
  <c r="BZ13" i="43" s="1"/>
  <c r="CL13" i="43"/>
  <c r="CL22" i="43"/>
  <c r="BY22" i="43"/>
  <c r="BZ22" i="43" s="1"/>
  <c r="CW22" i="43"/>
  <c r="EE11" i="43"/>
  <c r="EE8" i="43"/>
  <c r="EE13" i="43"/>
  <c r="CA17" i="43"/>
  <c r="CG17" i="43" s="1"/>
  <c r="CP17" i="43" s="1"/>
  <c r="BY4" i="43"/>
  <c r="BZ4" i="43" s="1"/>
  <c r="CW4" i="43"/>
  <c r="CL4" i="43"/>
  <c r="CL16" i="43"/>
  <c r="BY16" i="43"/>
  <c r="BZ16" i="43" s="1"/>
  <c r="CW16" i="43"/>
  <c r="CL20" i="43"/>
  <c r="BY20" i="43"/>
  <c r="BZ20" i="43" s="1"/>
  <c r="CW20" i="43"/>
  <c r="CL19" i="43"/>
  <c r="BY19" i="43"/>
  <c r="BZ19" i="43" s="1"/>
  <c r="CW19" i="43"/>
  <c r="BY8" i="43" l="1"/>
  <c r="BZ8" i="43" s="1"/>
  <c r="CA8" i="43" s="1"/>
  <c r="CG8" i="43" s="1"/>
  <c r="CP8" i="43" s="1"/>
  <c r="CL8" i="43"/>
  <c r="CL5" i="43"/>
  <c r="BY5" i="43"/>
  <c r="BZ5" i="43" s="1"/>
  <c r="BF5" i="43" s="1"/>
  <c r="D24" i="43" s="1"/>
  <c r="CA4" i="43"/>
  <c r="CG4" i="43" s="1"/>
  <c r="CP4" i="43" s="1"/>
  <c r="BF4" i="43"/>
  <c r="C24" i="43" s="1"/>
  <c r="CA25" i="43"/>
  <c r="CG25" i="43" s="1"/>
  <c r="CP25" i="43" s="1"/>
  <c r="CA26" i="43"/>
  <c r="CG26" i="43" s="1"/>
  <c r="CP26" i="43" s="1"/>
  <c r="CP6" i="43"/>
  <c r="CA9" i="43"/>
  <c r="CG9" i="43" s="1"/>
  <c r="CP9" i="43" s="1"/>
  <c r="CA22" i="43"/>
  <c r="CG22" i="43" s="1"/>
  <c r="CP22" i="43" s="1"/>
  <c r="CA15" i="43"/>
  <c r="CG15" i="43" s="1"/>
  <c r="CP15" i="43" s="1"/>
  <c r="CA21" i="43"/>
  <c r="CG21" i="43" s="1"/>
  <c r="CP21" i="43" s="1"/>
  <c r="CA11" i="43"/>
  <c r="CG11" i="43" s="1"/>
  <c r="CP11" i="43" s="1"/>
  <c r="CA13" i="43"/>
  <c r="CG13" i="43" s="1"/>
  <c r="CP13" i="43" s="1"/>
  <c r="CA12" i="43"/>
  <c r="CG12" i="43" s="1"/>
  <c r="CP12" i="43" s="1"/>
  <c r="CA19" i="43"/>
  <c r="CG19" i="43" s="1"/>
  <c r="CP19" i="43" s="1"/>
  <c r="CA20" i="43"/>
  <c r="CG20" i="43" s="1"/>
  <c r="CP20" i="43" s="1"/>
  <c r="CA16" i="43"/>
  <c r="CG16" i="43" s="1"/>
  <c r="CP16" i="43" s="1"/>
  <c r="CA14" i="43"/>
  <c r="CG14" i="43" s="1"/>
  <c r="CP14" i="43" s="1"/>
  <c r="CA10" i="43"/>
  <c r="CG10" i="43" s="1"/>
  <c r="CP10" i="43" s="1"/>
  <c r="CA23" i="43"/>
  <c r="CG23" i="43" s="1"/>
  <c r="CP23" i="43" s="1"/>
  <c r="CA24" i="43"/>
  <c r="CG24" i="43" s="1"/>
  <c r="CP24" i="43" s="1"/>
  <c r="CA18" i="43"/>
  <c r="CG18" i="43" s="1"/>
  <c r="CP18" i="43" s="1"/>
  <c r="CL27" i="43"/>
  <c r="CW27" i="43"/>
  <c r="BY27" i="43"/>
  <c r="BZ27" i="43" s="1"/>
  <c r="AG67" i="43"/>
  <c r="AH66" i="43"/>
  <c r="CA5" i="43" l="1"/>
  <c r="CG5" i="43" s="1"/>
  <c r="CP5" i="43" s="1"/>
  <c r="CA27" i="43"/>
  <c r="CG27" i="43" s="1"/>
  <c r="CP27" i="43" s="1"/>
  <c r="AH67" i="43"/>
  <c r="AG68" i="43"/>
  <c r="AH68" i="43" l="1"/>
  <c r="AG69" i="43"/>
  <c r="AG70" i="43" l="1"/>
  <c r="AH69" i="43"/>
  <c r="AG71" i="43" l="1"/>
  <c r="AH70" i="43"/>
  <c r="AH71" i="43" l="1"/>
  <c r="AG72" i="43"/>
  <c r="AG73" i="43" l="1"/>
  <c r="AH72" i="43"/>
  <c r="AG74" i="43" l="1"/>
  <c r="AH73" i="43"/>
  <c r="AH74" i="43" l="1"/>
  <c r="AG75" i="43"/>
  <c r="AG76" i="43" l="1"/>
  <c r="AH75" i="43"/>
  <c r="AH76" i="43" l="1"/>
  <c r="AG77" i="43"/>
  <c r="AH77" i="43" l="1"/>
  <c r="AG78" i="43"/>
  <c r="AG79" i="43" l="1"/>
  <c r="AH78" i="43"/>
  <c r="AG80" i="43" l="1"/>
  <c r="AH79" i="43"/>
  <c r="AG81" i="43" l="1"/>
  <c r="AH80" i="43"/>
  <c r="AG82" i="43" l="1"/>
  <c r="AH81" i="43"/>
  <c r="AG83" i="43" l="1"/>
  <c r="AH83" i="43" s="1"/>
  <c r="AH82" i="43"/>
  <c r="L32" i="2" l="1"/>
  <c r="L33" i="2"/>
  <c r="L34" i="2"/>
  <c r="L35" i="2"/>
  <c r="L36" i="2"/>
  <c r="L37" i="2"/>
  <c r="L38" i="2"/>
  <c r="L39" i="2"/>
  <c r="L40" i="2"/>
  <c r="L41" i="2"/>
  <c r="L42" i="2"/>
  <c r="L43" i="2"/>
  <c r="L44" i="2"/>
  <c r="L45" i="2"/>
  <c r="L46" i="2"/>
  <c r="L47" i="2"/>
  <c r="L48" i="2"/>
  <c r="L49" i="2"/>
  <c r="L50" i="2"/>
  <c r="L51" i="2"/>
  <c r="L52" i="2"/>
  <c r="L53" i="2"/>
  <c r="L54" i="2"/>
  <c r="L55" i="2"/>
  <c r="H139" i="2" l="1"/>
  <c r="L139" i="2" s="1"/>
  <c r="J139" i="2"/>
  <c r="K139" i="2"/>
  <c r="F139" i="2"/>
  <c r="M139" i="2" s="1"/>
  <c r="AK29" i="2" l="1"/>
  <c r="DL7" i="43"/>
  <c r="DL26" i="43" l="1"/>
  <c r="DL10" i="43"/>
  <c r="DL6" i="43"/>
  <c r="DL5" i="43"/>
  <c r="BC5" i="43" s="1"/>
  <c r="D23" i="43" s="1"/>
  <c r="DL25" i="43"/>
  <c r="DL9" i="43"/>
  <c r="DL4" i="43"/>
  <c r="DL12" i="43"/>
  <c r="DL8" i="43"/>
  <c r="DL13" i="43"/>
  <c r="DL27" i="43"/>
  <c r="DL11" i="43"/>
  <c r="BC4" i="43" l="1"/>
  <c r="DL29" i="43"/>
  <c r="N279" i="2"/>
  <c r="J279" i="2"/>
  <c r="I279" i="2"/>
  <c r="H279" i="2"/>
  <c r="G279" i="2"/>
  <c r="N251" i="2"/>
  <c r="J251" i="2"/>
  <c r="I251" i="2"/>
  <c r="H251" i="2"/>
  <c r="G251" i="2"/>
  <c r="N223" i="2"/>
  <c r="J223" i="2"/>
  <c r="I223" i="2"/>
  <c r="G223" i="2"/>
  <c r="N195" i="2"/>
  <c r="J195" i="2"/>
  <c r="I195" i="2"/>
  <c r="H195" i="2"/>
  <c r="N167" i="2"/>
  <c r="J167" i="2"/>
  <c r="I167" i="2"/>
  <c r="H167" i="2"/>
  <c r="G167" i="2"/>
  <c r="J111" i="2"/>
  <c r="I111" i="2"/>
  <c r="H111" i="2"/>
  <c r="F111" i="2"/>
  <c r="J83" i="2"/>
  <c r="I83" i="2"/>
  <c r="H83" i="2"/>
  <c r="BP28" i="43" s="1"/>
  <c r="BQ28" i="43" s="1"/>
  <c r="F83" i="2"/>
  <c r="I55" i="2"/>
  <c r="J55" i="2"/>
  <c r="F55" i="2"/>
  <c r="CD28" i="43" l="1"/>
  <c r="CE28" i="43" s="1"/>
  <c r="CF28" i="43" s="1"/>
  <c r="CV28" i="43" s="1"/>
  <c r="BR28" i="43"/>
  <c r="BS28" i="43" s="1"/>
  <c r="BW28" i="43" s="1"/>
  <c r="D54" i="38"/>
  <c r="EC28" i="43"/>
  <c r="ED28" i="43" s="1"/>
  <c r="EE28" i="43" s="1"/>
  <c r="M88" i="2"/>
  <c r="M89" i="2"/>
  <c r="M90" i="2"/>
  <c r="M91" i="2"/>
  <c r="M92" i="2"/>
  <c r="M93" i="2"/>
  <c r="M94" i="2"/>
  <c r="M95" i="2"/>
  <c r="M96" i="2"/>
  <c r="M97" i="2"/>
  <c r="M98" i="2"/>
  <c r="M99" i="2"/>
  <c r="M100" i="2"/>
  <c r="M101" i="2"/>
  <c r="M102" i="2"/>
  <c r="M103" i="2"/>
  <c r="M104" i="2"/>
  <c r="M105" i="2"/>
  <c r="M106" i="2"/>
  <c r="M107" i="2"/>
  <c r="M108" i="2"/>
  <c r="M109" i="2"/>
  <c r="M110" i="2"/>
  <c r="M116" i="2"/>
  <c r="M117" i="2"/>
  <c r="M118" i="2"/>
  <c r="M119" i="2"/>
  <c r="M120" i="2"/>
  <c r="M121" i="2"/>
  <c r="M122" i="2"/>
  <c r="M123" i="2"/>
  <c r="M124" i="2"/>
  <c r="M125" i="2"/>
  <c r="M126" i="2"/>
  <c r="M127" i="2"/>
  <c r="M128" i="2"/>
  <c r="M129" i="2"/>
  <c r="M130" i="2"/>
  <c r="M131" i="2"/>
  <c r="M132" i="2"/>
  <c r="M133" i="2"/>
  <c r="M134" i="2"/>
  <c r="M135" i="2"/>
  <c r="M136" i="2"/>
  <c r="M137" i="2"/>
  <c r="M138" i="2"/>
  <c r="M144" i="2"/>
  <c r="M145" i="2"/>
  <c r="M146" i="2"/>
  <c r="M147" i="2"/>
  <c r="M148" i="2"/>
  <c r="M149" i="2"/>
  <c r="M150" i="2"/>
  <c r="M151" i="2"/>
  <c r="M152" i="2"/>
  <c r="M153" i="2"/>
  <c r="M154" i="2"/>
  <c r="M155" i="2"/>
  <c r="M156" i="2"/>
  <c r="M157" i="2"/>
  <c r="M158" i="2"/>
  <c r="M159" i="2"/>
  <c r="M160" i="2"/>
  <c r="M161" i="2"/>
  <c r="M162" i="2"/>
  <c r="M163" i="2"/>
  <c r="M164" i="2"/>
  <c r="M165" i="2"/>
  <c r="M166" i="2"/>
  <c r="M172" i="2"/>
  <c r="G172" i="2" s="1"/>
  <c r="M173" i="2"/>
  <c r="G173" i="2" s="1"/>
  <c r="M174" i="2"/>
  <c r="G174" i="2" s="1"/>
  <c r="M175" i="2"/>
  <c r="G175" i="2" s="1"/>
  <c r="M176" i="2"/>
  <c r="G176" i="2" s="1"/>
  <c r="M177" i="2"/>
  <c r="G177" i="2" s="1"/>
  <c r="M178" i="2"/>
  <c r="G178" i="2" s="1"/>
  <c r="M179" i="2"/>
  <c r="G179" i="2" s="1"/>
  <c r="M180" i="2"/>
  <c r="G180" i="2" s="1"/>
  <c r="M181" i="2"/>
  <c r="G181" i="2" s="1"/>
  <c r="M182" i="2"/>
  <c r="G182" i="2" s="1"/>
  <c r="M183" i="2"/>
  <c r="G183" i="2" s="1"/>
  <c r="M184" i="2"/>
  <c r="G184" i="2" s="1"/>
  <c r="M185" i="2"/>
  <c r="G185" i="2" s="1"/>
  <c r="M186" i="2"/>
  <c r="G186" i="2" s="1"/>
  <c r="M187" i="2"/>
  <c r="G187" i="2" s="1"/>
  <c r="M188" i="2"/>
  <c r="G188" i="2" s="1"/>
  <c r="M189" i="2"/>
  <c r="G189" i="2" s="1"/>
  <c r="M190" i="2"/>
  <c r="G190" i="2" s="1"/>
  <c r="M191" i="2"/>
  <c r="G191" i="2" s="1"/>
  <c r="M192" i="2"/>
  <c r="G192" i="2" s="1"/>
  <c r="M193" i="2"/>
  <c r="G193" i="2" s="1"/>
  <c r="M194" i="2"/>
  <c r="G194" i="2" s="1"/>
  <c r="M200" i="2"/>
  <c r="M201" i="2"/>
  <c r="M202" i="2"/>
  <c r="M203" i="2"/>
  <c r="M204" i="2"/>
  <c r="M205" i="2"/>
  <c r="M206" i="2"/>
  <c r="M207" i="2"/>
  <c r="M208" i="2"/>
  <c r="M209" i="2"/>
  <c r="M210" i="2"/>
  <c r="M211" i="2"/>
  <c r="M212" i="2"/>
  <c r="M213" i="2"/>
  <c r="M214" i="2"/>
  <c r="M215" i="2"/>
  <c r="M216" i="2"/>
  <c r="M217" i="2"/>
  <c r="M218" i="2"/>
  <c r="M219" i="2"/>
  <c r="M220" i="2"/>
  <c r="M221" i="2"/>
  <c r="M222" i="2"/>
  <c r="M228" i="2"/>
  <c r="M229" i="2"/>
  <c r="M230" i="2"/>
  <c r="M231" i="2"/>
  <c r="M232" i="2"/>
  <c r="M233" i="2"/>
  <c r="M234" i="2"/>
  <c r="M235" i="2"/>
  <c r="M236" i="2"/>
  <c r="M237" i="2"/>
  <c r="M238" i="2"/>
  <c r="M239" i="2"/>
  <c r="M240" i="2"/>
  <c r="M241" i="2"/>
  <c r="M242" i="2"/>
  <c r="M243" i="2"/>
  <c r="M244" i="2"/>
  <c r="M245" i="2"/>
  <c r="M246" i="2"/>
  <c r="M247" i="2"/>
  <c r="M248" i="2"/>
  <c r="M249" i="2"/>
  <c r="M250" i="2"/>
  <c r="M256" i="2"/>
  <c r="M257" i="2"/>
  <c r="M258" i="2"/>
  <c r="M259" i="2"/>
  <c r="M260" i="2"/>
  <c r="M261" i="2"/>
  <c r="M262" i="2"/>
  <c r="M263" i="2"/>
  <c r="M264" i="2"/>
  <c r="M265" i="2"/>
  <c r="M266" i="2"/>
  <c r="M267" i="2"/>
  <c r="M268" i="2"/>
  <c r="M269" i="2"/>
  <c r="M270" i="2"/>
  <c r="M271" i="2"/>
  <c r="M272" i="2"/>
  <c r="M273" i="2"/>
  <c r="M274" i="2"/>
  <c r="M275" i="2"/>
  <c r="M276" i="2"/>
  <c r="M277" i="2"/>
  <c r="M278" i="2"/>
  <c r="M255" i="2"/>
  <c r="L279" i="2" s="1"/>
  <c r="M227" i="2"/>
  <c r="L251" i="2" s="1"/>
  <c r="M199" i="2"/>
  <c r="L223" i="2" s="1"/>
  <c r="M171" i="2"/>
  <c r="M143" i="2"/>
  <c r="L167" i="2" s="1"/>
  <c r="M115" i="2"/>
  <c r="M87" i="2"/>
  <c r="M111" i="2" s="1"/>
  <c r="M60" i="2"/>
  <c r="M61" i="2"/>
  <c r="M62" i="2"/>
  <c r="M63" i="2"/>
  <c r="M64" i="2"/>
  <c r="M65" i="2"/>
  <c r="M66" i="2"/>
  <c r="M67" i="2"/>
  <c r="M68" i="2"/>
  <c r="M69" i="2"/>
  <c r="M70" i="2"/>
  <c r="M71" i="2"/>
  <c r="M72" i="2"/>
  <c r="M73" i="2"/>
  <c r="M74" i="2"/>
  <c r="M75" i="2"/>
  <c r="M76" i="2"/>
  <c r="M77" i="2"/>
  <c r="M78" i="2"/>
  <c r="M79" i="2"/>
  <c r="M80" i="2"/>
  <c r="M81" i="2"/>
  <c r="M82" i="2"/>
  <c r="M59" i="2"/>
  <c r="M32" i="2"/>
  <c r="M33" i="2"/>
  <c r="M34" i="2"/>
  <c r="M35" i="2"/>
  <c r="M36" i="2"/>
  <c r="M37" i="2"/>
  <c r="M38" i="2"/>
  <c r="M39" i="2"/>
  <c r="M40" i="2"/>
  <c r="M41" i="2"/>
  <c r="M42" i="2"/>
  <c r="M43" i="2"/>
  <c r="M44" i="2"/>
  <c r="M45" i="2"/>
  <c r="M46" i="2"/>
  <c r="M47" i="2"/>
  <c r="M48" i="2"/>
  <c r="M49" i="2"/>
  <c r="M50" i="2"/>
  <c r="M51" i="2"/>
  <c r="M52" i="2"/>
  <c r="M53" i="2"/>
  <c r="M54" i="2"/>
  <c r="M31" i="2"/>
  <c r="M55" i="2" s="1"/>
  <c r="L278" i="2"/>
  <c r="L277" i="2"/>
  <c r="L276" i="2"/>
  <c r="L275" i="2"/>
  <c r="L274" i="2"/>
  <c r="L273" i="2"/>
  <c r="L272" i="2"/>
  <c r="L271" i="2"/>
  <c r="L270" i="2"/>
  <c r="L269" i="2"/>
  <c r="L268" i="2"/>
  <c r="L267" i="2"/>
  <c r="L266" i="2"/>
  <c r="L265" i="2"/>
  <c r="L264" i="2"/>
  <c r="L263" i="2"/>
  <c r="L262" i="2"/>
  <c r="L261" i="2"/>
  <c r="L260" i="2"/>
  <c r="L259" i="2"/>
  <c r="L258" i="2"/>
  <c r="L257" i="2"/>
  <c r="L256" i="2"/>
  <c r="L255" i="2"/>
  <c r="L250" i="2"/>
  <c r="L249" i="2"/>
  <c r="L248" i="2"/>
  <c r="L247" i="2"/>
  <c r="L246" i="2"/>
  <c r="L245" i="2"/>
  <c r="L244" i="2"/>
  <c r="L243" i="2"/>
  <c r="L242" i="2"/>
  <c r="L241" i="2"/>
  <c r="L240" i="2"/>
  <c r="L239" i="2"/>
  <c r="L238" i="2"/>
  <c r="L237" i="2"/>
  <c r="L236" i="2"/>
  <c r="L235" i="2"/>
  <c r="L234" i="2"/>
  <c r="L233" i="2"/>
  <c r="L232" i="2"/>
  <c r="L231" i="2"/>
  <c r="L230" i="2"/>
  <c r="L229" i="2"/>
  <c r="L228" i="2"/>
  <c r="L227" i="2"/>
  <c r="L222" i="2"/>
  <c r="L221" i="2"/>
  <c r="L220" i="2"/>
  <c r="L219" i="2"/>
  <c r="L218" i="2"/>
  <c r="L217" i="2"/>
  <c r="L216" i="2"/>
  <c r="L215" i="2"/>
  <c r="L214" i="2"/>
  <c r="L213" i="2"/>
  <c r="L212" i="2"/>
  <c r="L211" i="2"/>
  <c r="L210" i="2"/>
  <c r="L209" i="2"/>
  <c r="L208" i="2"/>
  <c r="L207" i="2"/>
  <c r="L206" i="2"/>
  <c r="L205" i="2"/>
  <c r="L204" i="2"/>
  <c r="L203" i="2"/>
  <c r="L202" i="2"/>
  <c r="L201" i="2"/>
  <c r="L200" i="2"/>
  <c r="L199" i="2"/>
  <c r="L194" i="2"/>
  <c r="L193" i="2"/>
  <c r="L192" i="2"/>
  <c r="L191" i="2"/>
  <c r="L190" i="2"/>
  <c r="L189" i="2"/>
  <c r="L188" i="2"/>
  <c r="L187" i="2"/>
  <c r="L186" i="2"/>
  <c r="L185" i="2"/>
  <c r="L184" i="2"/>
  <c r="L183" i="2"/>
  <c r="L182" i="2"/>
  <c r="L181" i="2"/>
  <c r="L180" i="2"/>
  <c r="L179" i="2"/>
  <c r="L178" i="2"/>
  <c r="L177" i="2"/>
  <c r="L176" i="2"/>
  <c r="L175" i="2"/>
  <c r="L174" i="2"/>
  <c r="L173" i="2"/>
  <c r="L172" i="2"/>
  <c r="L171" i="2"/>
  <c r="L166" i="2"/>
  <c r="L165" i="2"/>
  <c r="L164" i="2"/>
  <c r="L163" i="2"/>
  <c r="L162" i="2"/>
  <c r="L161" i="2"/>
  <c r="L160" i="2"/>
  <c r="L159" i="2"/>
  <c r="L158" i="2"/>
  <c r="L157" i="2"/>
  <c r="L156" i="2"/>
  <c r="L155" i="2"/>
  <c r="L154" i="2"/>
  <c r="L153" i="2"/>
  <c r="L152" i="2"/>
  <c r="L151" i="2"/>
  <c r="L150" i="2"/>
  <c r="L149" i="2"/>
  <c r="L148" i="2"/>
  <c r="L147" i="2"/>
  <c r="L146" i="2"/>
  <c r="L145" i="2"/>
  <c r="L144" i="2"/>
  <c r="L143" i="2"/>
  <c r="L138" i="2"/>
  <c r="L137" i="2"/>
  <c r="L136" i="2"/>
  <c r="L135" i="2"/>
  <c r="L134" i="2"/>
  <c r="L133" i="2"/>
  <c r="L132" i="2"/>
  <c r="L131" i="2"/>
  <c r="L130" i="2"/>
  <c r="L129" i="2"/>
  <c r="L128" i="2"/>
  <c r="L127" i="2"/>
  <c r="L126" i="2"/>
  <c r="L125" i="2"/>
  <c r="L124" i="2"/>
  <c r="L123" i="2"/>
  <c r="L122" i="2"/>
  <c r="L121" i="2"/>
  <c r="L120" i="2"/>
  <c r="L119" i="2"/>
  <c r="L118" i="2"/>
  <c r="L117" i="2"/>
  <c r="L116" i="2"/>
  <c r="L115" i="2"/>
  <c r="L110" i="2"/>
  <c r="L109" i="2"/>
  <c r="L108" i="2"/>
  <c r="L107" i="2"/>
  <c r="L106" i="2"/>
  <c r="L105" i="2"/>
  <c r="L104" i="2"/>
  <c r="L103" i="2"/>
  <c r="L102" i="2"/>
  <c r="L101" i="2"/>
  <c r="L100" i="2"/>
  <c r="L99" i="2"/>
  <c r="L98" i="2"/>
  <c r="L97" i="2"/>
  <c r="L96" i="2"/>
  <c r="L95" i="2"/>
  <c r="L94" i="2"/>
  <c r="L93" i="2"/>
  <c r="L92" i="2"/>
  <c r="L91" i="2"/>
  <c r="L90" i="2"/>
  <c r="L89" i="2"/>
  <c r="L88" i="2"/>
  <c r="L87" i="2"/>
  <c r="L111" i="2" s="1"/>
  <c r="L82" i="2"/>
  <c r="L81" i="2"/>
  <c r="L80" i="2"/>
  <c r="L79" i="2"/>
  <c r="L78" i="2"/>
  <c r="L77" i="2"/>
  <c r="L76" i="2"/>
  <c r="L75" i="2"/>
  <c r="L74" i="2"/>
  <c r="L73" i="2"/>
  <c r="L72" i="2"/>
  <c r="L71" i="2"/>
  <c r="L70" i="2"/>
  <c r="L69" i="2"/>
  <c r="L68" i="2"/>
  <c r="L67" i="2"/>
  <c r="L66" i="2"/>
  <c r="L65" i="2"/>
  <c r="L64" i="2"/>
  <c r="L63" i="2"/>
  <c r="L62" i="2"/>
  <c r="L61" i="2"/>
  <c r="L60" i="2"/>
  <c r="L59" i="2"/>
  <c r="L83" i="2" s="1"/>
  <c r="L31" i="2"/>
  <c r="CI28" i="43" l="1"/>
  <c r="CJ28" i="43" s="1"/>
  <c r="CK28" i="43" s="1"/>
  <c r="CC28" i="43"/>
  <c r="CQ28" i="43" s="1"/>
  <c r="BU28" i="43"/>
  <c r="BT28" i="43"/>
  <c r="BX28" i="43" s="1"/>
  <c r="M83" i="2"/>
  <c r="G59" i="2"/>
  <c r="L195" i="2"/>
  <c r="G171" i="2"/>
  <c r="C48" i="21"/>
  <c r="C49" i="21" s="1"/>
  <c r="C50" i="21" s="1"/>
  <c r="C51" i="21" s="1"/>
  <c r="C52" i="21" s="1"/>
  <c r="C53" i="21" s="1"/>
  <c r="C54" i="21" s="1"/>
  <c r="C55" i="21" s="1"/>
  <c r="C56" i="21" s="1"/>
  <c r="C57" i="21" s="1"/>
  <c r="C58" i="21" s="1"/>
  <c r="C59" i="21" s="1"/>
  <c r="C60" i="21" s="1"/>
  <c r="C61" i="21" s="1"/>
  <c r="C62" i="21" s="1"/>
  <c r="C63" i="21" s="1"/>
  <c r="C64" i="21" s="1"/>
  <c r="C65" i="21" s="1"/>
  <c r="C66" i="21" s="1"/>
  <c r="C67" i="21" s="1"/>
  <c r="DB28" i="43" l="1"/>
  <c r="BY28" i="43"/>
  <c r="BZ28" i="43" s="1"/>
  <c r="CA28" i="43" s="1"/>
  <c r="CG28" i="43" s="1"/>
  <c r="CP28" i="43" s="1"/>
  <c r="CW28" i="43"/>
  <c r="CL28" i="43"/>
  <c r="B48" i="21"/>
  <c r="B49" i="21" s="1"/>
  <c r="B50" i="21" s="1"/>
  <c r="B51" i="21" s="1"/>
  <c r="B52" i="21" s="1"/>
  <c r="B53" i="21" s="1"/>
  <c r="B54" i="21" s="1"/>
  <c r="B55" i="21" s="1"/>
  <c r="B56" i="21" s="1"/>
  <c r="B57" i="21" s="1"/>
  <c r="B58" i="21" s="1"/>
  <c r="B59" i="21" s="1"/>
  <c r="B60" i="21" s="1"/>
  <c r="B61" i="21" s="1"/>
  <c r="B62" i="21" s="1"/>
  <c r="B63" i="21" s="1"/>
  <c r="B64" i="21" s="1"/>
  <c r="B65" i="21" s="1"/>
  <c r="B66" i="21" s="1"/>
  <c r="B67" i="21" s="1"/>
  <c r="F13" i="21" l="1"/>
  <c r="D20" i="21"/>
  <c r="D21" i="21"/>
  <c r="D22" i="21"/>
  <c r="D23" i="21"/>
  <c r="D19" i="21"/>
  <c r="F19" i="21" s="1"/>
  <c r="F20" i="21" l="1"/>
  <c r="F21" i="21" s="1"/>
  <c r="F22" i="21" s="1"/>
  <c r="F23" i="21" s="1"/>
  <c r="C13" i="21" l="1"/>
  <c r="D24" i="21" s="1"/>
  <c r="F24" i="21" s="1"/>
  <c r="D28" i="21" l="1"/>
  <c r="D25" i="21"/>
  <c r="F25" i="21" s="1"/>
  <c r="D29" i="21"/>
  <c r="D26" i="21"/>
  <c r="D30" i="21"/>
  <c r="D27" i="21"/>
  <c r="F26" i="21" l="1"/>
  <c r="F27" i="21" s="1"/>
  <c r="F28" i="21" s="1"/>
  <c r="F29" i="21" s="1"/>
  <c r="F30" i="21" s="1"/>
  <c r="F20" i="2" l="1"/>
  <c r="N278" i="2" l="1"/>
  <c r="G278" i="2"/>
  <c r="I278" i="2"/>
  <c r="N277" i="2"/>
  <c r="G277" i="2"/>
  <c r="I277" i="2"/>
  <c r="N276" i="2"/>
  <c r="G276" i="2"/>
  <c r="I276" i="2"/>
  <c r="N275" i="2"/>
  <c r="G275" i="2"/>
  <c r="I275" i="2"/>
  <c r="N274" i="2"/>
  <c r="G274" i="2"/>
  <c r="I274" i="2"/>
  <c r="N273" i="2"/>
  <c r="G273" i="2"/>
  <c r="I273" i="2"/>
  <c r="N272" i="2"/>
  <c r="G272" i="2"/>
  <c r="I272" i="2"/>
  <c r="N271" i="2"/>
  <c r="G271" i="2"/>
  <c r="I271" i="2"/>
  <c r="N270" i="2"/>
  <c r="G270" i="2"/>
  <c r="I270" i="2"/>
  <c r="N269" i="2"/>
  <c r="G269" i="2"/>
  <c r="I269" i="2"/>
  <c r="N268" i="2"/>
  <c r="G268" i="2"/>
  <c r="I268" i="2"/>
  <c r="N267" i="2"/>
  <c r="G267" i="2"/>
  <c r="I267" i="2"/>
  <c r="N266" i="2"/>
  <c r="G266" i="2"/>
  <c r="I266" i="2"/>
  <c r="N265" i="2"/>
  <c r="G265" i="2"/>
  <c r="I265" i="2"/>
  <c r="N264" i="2"/>
  <c r="G264" i="2"/>
  <c r="I264" i="2"/>
  <c r="N263" i="2"/>
  <c r="G263" i="2"/>
  <c r="I263" i="2"/>
  <c r="N262" i="2"/>
  <c r="G262" i="2"/>
  <c r="I262" i="2"/>
  <c r="N261" i="2"/>
  <c r="G261" i="2"/>
  <c r="I261" i="2"/>
  <c r="N260" i="2"/>
  <c r="G260" i="2"/>
  <c r="I260" i="2"/>
  <c r="N259" i="2"/>
  <c r="G259" i="2"/>
  <c r="I259" i="2"/>
  <c r="N258" i="2"/>
  <c r="G258" i="2"/>
  <c r="I258" i="2"/>
  <c r="N257" i="2"/>
  <c r="G257" i="2"/>
  <c r="I257" i="2"/>
  <c r="N256" i="2"/>
  <c r="G256" i="2"/>
  <c r="I256" i="2"/>
  <c r="N255" i="2"/>
  <c r="M279" i="2" s="1"/>
  <c r="G255" i="2"/>
  <c r="F279" i="2" s="1"/>
  <c r="N250" i="2"/>
  <c r="G250" i="2"/>
  <c r="I250" i="2"/>
  <c r="N249" i="2"/>
  <c r="G249" i="2"/>
  <c r="I249" i="2"/>
  <c r="N248" i="2"/>
  <c r="G248" i="2"/>
  <c r="I248" i="2"/>
  <c r="N247" i="2"/>
  <c r="G247" i="2"/>
  <c r="I247" i="2"/>
  <c r="N246" i="2"/>
  <c r="G246" i="2"/>
  <c r="I246" i="2"/>
  <c r="N245" i="2"/>
  <c r="G245" i="2"/>
  <c r="I245" i="2"/>
  <c r="N244" i="2"/>
  <c r="G244" i="2"/>
  <c r="I244" i="2"/>
  <c r="N243" i="2"/>
  <c r="G243" i="2"/>
  <c r="I243" i="2"/>
  <c r="N242" i="2"/>
  <c r="G242" i="2"/>
  <c r="I242" i="2"/>
  <c r="N241" i="2"/>
  <c r="G241" i="2"/>
  <c r="I241" i="2"/>
  <c r="N240" i="2"/>
  <c r="G240" i="2"/>
  <c r="I240" i="2"/>
  <c r="N239" i="2"/>
  <c r="G239" i="2"/>
  <c r="I239" i="2"/>
  <c r="N238" i="2"/>
  <c r="G238" i="2"/>
  <c r="I238" i="2"/>
  <c r="N237" i="2"/>
  <c r="G237" i="2"/>
  <c r="I237" i="2"/>
  <c r="N236" i="2"/>
  <c r="G236" i="2"/>
  <c r="I236" i="2"/>
  <c r="N235" i="2"/>
  <c r="G235" i="2"/>
  <c r="I235" i="2"/>
  <c r="N234" i="2"/>
  <c r="G234" i="2"/>
  <c r="I234" i="2"/>
  <c r="N233" i="2"/>
  <c r="G233" i="2"/>
  <c r="I233" i="2"/>
  <c r="N232" i="2"/>
  <c r="G232" i="2"/>
  <c r="I232" i="2"/>
  <c r="N231" i="2"/>
  <c r="G231" i="2"/>
  <c r="I231" i="2"/>
  <c r="N230" i="2"/>
  <c r="G230" i="2"/>
  <c r="I230" i="2"/>
  <c r="N229" i="2"/>
  <c r="G229" i="2"/>
  <c r="I229" i="2"/>
  <c r="N228" i="2"/>
  <c r="G228" i="2"/>
  <c r="I228" i="2"/>
  <c r="N227" i="2"/>
  <c r="M251" i="2" s="1"/>
  <c r="G227" i="2"/>
  <c r="F251" i="2" s="1"/>
  <c r="N222" i="2"/>
  <c r="G222" i="2"/>
  <c r="I222" i="2"/>
  <c r="N221" i="2"/>
  <c r="G221" i="2"/>
  <c r="I221" i="2"/>
  <c r="N220" i="2"/>
  <c r="G220" i="2"/>
  <c r="I220" i="2"/>
  <c r="N219" i="2"/>
  <c r="G219" i="2"/>
  <c r="I219" i="2"/>
  <c r="N218" i="2"/>
  <c r="G218" i="2"/>
  <c r="I218" i="2"/>
  <c r="N217" i="2"/>
  <c r="G217" i="2"/>
  <c r="I217" i="2"/>
  <c r="N216" i="2"/>
  <c r="G216" i="2"/>
  <c r="I216" i="2"/>
  <c r="N215" i="2"/>
  <c r="G215" i="2"/>
  <c r="I215" i="2"/>
  <c r="N214" i="2"/>
  <c r="G214" i="2"/>
  <c r="I214" i="2"/>
  <c r="N213" i="2"/>
  <c r="G213" i="2"/>
  <c r="I213" i="2"/>
  <c r="N212" i="2"/>
  <c r="G212" i="2"/>
  <c r="I212" i="2"/>
  <c r="N211" i="2"/>
  <c r="G211" i="2"/>
  <c r="I211" i="2"/>
  <c r="N210" i="2"/>
  <c r="G210" i="2"/>
  <c r="I210" i="2"/>
  <c r="N209" i="2"/>
  <c r="G209" i="2"/>
  <c r="I209" i="2"/>
  <c r="N208" i="2"/>
  <c r="G208" i="2"/>
  <c r="I208" i="2"/>
  <c r="N207" i="2"/>
  <c r="G207" i="2"/>
  <c r="I207" i="2"/>
  <c r="N206" i="2"/>
  <c r="G206" i="2"/>
  <c r="I206" i="2"/>
  <c r="N205" i="2"/>
  <c r="G205" i="2"/>
  <c r="I205" i="2"/>
  <c r="N204" i="2"/>
  <c r="G204" i="2"/>
  <c r="I204" i="2"/>
  <c r="N203" i="2"/>
  <c r="G203" i="2"/>
  <c r="I203" i="2"/>
  <c r="N202" i="2"/>
  <c r="G202" i="2"/>
  <c r="I202" i="2"/>
  <c r="N201" i="2"/>
  <c r="G201" i="2"/>
  <c r="I201" i="2"/>
  <c r="N200" i="2"/>
  <c r="G200" i="2"/>
  <c r="I200" i="2"/>
  <c r="N199" i="2"/>
  <c r="M223" i="2" s="1"/>
  <c r="G199" i="2"/>
  <c r="N194" i="2"/>
  <c r="I194" i="2"/>
  <c r="N193" i="2"/>
  <c r="I193" i="2"/>
  <c r="N192" i="2"/>
  <c r="I192" i="2"/>
  <c r="N191" i="2"/>
  <c r="I191" i="2"/>
  <c r="N190" i="2"/>
  <c r="I190" i="2"/>
  <c r="N189" i="2"/>
  <c r="I189" i="2"/>
  <c r="N188" i="2"/>
  <c r="I188" i="2"/>
  <c r="N187" i="2"/>
  <c r="I187" i="2"/>
  <c r="N186" i="2"/>
  <c r="I186" i="2"/>
  <c r="N185" i="2"/>
  <c r="I185" i="2"/>
  <c r="N184" i="2"/>
  <c r="I184" i="2"/>
  <c r="N183" i="2"/>
  <c r="I183" i="2"/>
  <c r="N182" i="2"/>
  <c r="I182" i="2"/>
  <c r="N181" i="2"/>
  <c r="I181" i="2"/>
  <c r="N180" i="2"/>
  <c r="I180" i="2"/>
  <c r="N179" i="2"/>
  <c r="I179" i="2"/>
  <c r="N178" i="2"/>
  <c r="I178" i="2"/>
  <c r="N177" i="2"/>
  <c r="I177" i="2"/>
  <c r="N176" i="2"/>
  <c r="I176" i="2"/>
  <c r="N175" i="2"/>
  <c r="I175" i="2"/>
  <c r="N174" i="2"/>
  <c r="I174" i="2"/>
  <c r="N173" i="2"/>
  <c r="I173" i="2"/>
  <c r="N172" i="2"/>
  <c r="I172" i="2"/>
  <c r="N171" i="2"/>
  <c r="M195" i="2" s="1"/>
  <c r="G195" i="2" s="1"/>
  <c r="N166" i="2"/>
  <c r="G166" i="2"/>
  <c r="I166" i="2"/>
  <c r="N165" i="2"/>
  <c r="G165" i="2"/>
  <c r="I165" i="2"/>
  <c r="N164" i="2"/>
  <c r="G164" i="2"/>
  <c r="I164" i="2"/>
  <c r="N163" i="2"/>
  <c r="G163" i="2"/>
  <c r="I163" i="2"/>
  <c r="N162" i="2"/>
  <c r="G162" i="2"/>
  <c r="I162" i="2"/>
  <c r="N161" i="2"/>
  <c r="G161" i="2"/>
  <c r="I161" i="2"/>
  <c r="N160" i="2"/>
  <c r="G160" i="2"/>
  <c r="I160" i="2"/>
  <c r="N159" i="2"/>
  <c r="G159" i="2"/>
  <c r="I159" i="2"/>
  <c r="N158" i="2"/>
  <c r="G158" i="2"/>
  <c r="I158" i="2"/>
  <c r="N157" i="2"/>
  <c r="G157" i="2"/>
  <c r="I157" i="2"/>
  <c r="N156" i="2"/>
  <c r="G156" i="2"/>
  <c r="I156" i="2"/>
  <c r="N155" i="2"/>
  <c r="G155" i="2"/>
  <c r="I155" i="2"/>
  <c r="N154" i="2"/>
  <c r="G154" i="2"/>
  <c r="I154" i="2"/>
  <c r="N153" i="2"/>
  <c r="G153" i="2"/>
  <c r="I153" i="2"/>
  <c r="N152" i="2"/>
  <c r="G152" i="2"/>
  <c r="I152" i="2"/>
  <c r="N151" i="2"/>
  <c r="G151" i="2"/>
  <c r="I151" i="2"/>
  <c r="N150" i="2"/>
  <c r="G150" i="2"/>
  <c r="I150" i="2"/>
  <c r="N149" i="2"/>
  <c r="G149" i="2"/>
  <c r="I149" i="2"/>
  <c r="N148" i="2"/>
  <c r="G148" i="2"/>
  <c r="I148" i="2"/>
  <c r="N147" i="2"/>
  <c r="G147" i="2"/>
  <c r="I147" i="2"/>
  <c r="N146" i="2"/>
  <c r="G146" i="2"/>
  <c r="I146" i="2"/>
  <c r="N145" i="2"/>
  <c r="G145" i="2"/>
  <c r="I145" i="2"/>
  <c r="N144" i="2"/>
  <c r="G144" i="2"/>
  <c r="I144" i="2"/>
  <c r="N143" i="2"/>
  <c r="M167" i="2" s="1"/>
  <c r="G143" i="2"/>
  <c r="N138" i="2"/>
  <c r="G138" i="2"/>
  <c r="I138" i="2"/>
  <c r="N137" i="2"/>
  <c r="G137" i="2"/>
  <c r="I137" i="2"/>
  <c r="N136" i="2"/>
  <c r="G136" i="2"/>
  <c r="I136" i="2"/>
  <c r="N135" i="2"/>
  <c r="G135" i="2"/>
  <c r="I135" i="2"/>
  <c r="N134" i="2"/>
  <c r="G134" i="2"/>
  <c r="I134" i="2"/>
  <c r="N133" i="2"/>
  <c r="G133" i="2"/>
  <c r="I133" i="2"/>
  <c r="N132" i="2"/>
  <c r="G132" i="2"/>
  <c r="I132" i="2"/>
  <c r="N131" i="2"/>
  <c r="G131" i="2"/>
  <c r="I131" i="2"/>
  <c r="N130" i="2"/>
  <c r="G130" i="2"/>
  <c r="I130" i="2"/>
  <c r="N129" i="2"/>
  <c r="G129" i="2"/>
  <c r="I129" i="2"/>
  <c r="N128" i="2"/>
  <c r="G128" i="2"/>
  <c r="I128" i="2"/>
  <c r="N127" i="2"/>
  <c r="G127" i="2"/>
  <c r="I127" i="2"/>
  <c r="N126" i="2"/>
  <c r="G126" i="2"/>
  <c r="I126" i="2"/>
  <c r="N125" i="2"/>
  <c r="G125" i="2"/>
  <c r="I125" i="2"/>
  <c r="N124" i="2"/>
  <c r="G124" i="2"/>
  <c r="I124" i="2"/>
  <c r="N123" i="2"/>
  <c r="G123" i="2"/>
  <c r="I123" i="2"/>
  <c r="N122" i="2"/>
  <c r="G122" i="2"/>
  <c r="I122" i="2"/>
  <c r="N121" i="2"/>
  <c r="G121" i="2"/>
  <c r="I121" i="2"/>
  <c r="N120" i="2"/>
  <c r="G120" i="2"/>
  <c r="I120" i="2"/>
  <c r="N119" i="2"/>
  <c r="G119" i="2"/>
  <c r="I119" i="2"/>
  <c r="N118" i="2"/>
  <c r="G118" i="2"/>
  <c r="I118" i="2"/>
  <c r="N117" i="2"/>
  <c r="G117" i="2"/>
  <c r="I117" i="2"/>
  <c r="N116" i="2"/>
  <c r="G116" i="2"/>
  <c r="I116" i="2"/>
  <c r="N115" i="2"/>
  <c r="N139" i="2" s="1"/>
  <c r="G115" i="2"/>
  <c r="N110" i="2"/>
  <c r="G110" i="2"/>
  <c r="I110" i="2"/>
  <c r="N109" i="2"/>
  <c r="G109" i="2"/>
  <c r="I109" i="2"/>
  <c r="N108" i="2"/>
  <c r="G108" i="2"/>
  <c r="I108" i="2"/>
  <c r="N107" i="2"/>
  <c r="G107" i="2"/>
  <c r="I107" i="2"/>
  <c r="N106" i="2"/>
  <c r="G106" i="2"/>
  <c r="I106" i="2"/>
  <c r="N105" i="2"/>
  <c r="G105" i="2"/>
  <c r="I105" i="2"/>
  <c r="N104" i="2"/>
  <c r="G104" i="2"/>
  <c r="I104" i="2"/>
  <c r="N103" i="2"/>
  <c r="G103" i="2"/>
  <c r="I103" i="2"/>
  <c r="N102" i="2"/>
  <c r="G102" i="2"/>
  <c r="I102" i="2"/>
  <c r="N101" i="2"/>
  <c r="G101" i="2"/>
  <c r="I101" i="2"/>
  <c r="N100" i="2"/>
  <c r="G100" i="2"/>
  <c r="I100" i="2"/>
  <c r="N99" i="2"/>
  <c r="G99" i="2"/>
  <c r="I99" i="2"/>
  <c r="N98" i="2"/>
  <c r="G98" i="2"/>
  <c r="I98" i="2"/>
  <c r="N97" i="2"/>
  <c r="G97" i="2"/>
  <c r="I97" i="2"/>
  <c r="N96" i="2"/>
  <c r="G96" i="2"/>
  <c r="I96" i="2"/>
  <c r="N95" i="2"/>
  <c r="G95" i="2"/>
  <c r="I95" i="2"/>
  <c r="N94" i="2"/>
  <c r="G94" i="2"/>
  <c r="I94" i="2"/>
  <c r="N93" i="2"/>
  <c r="G93" i="2"/>
  <c r="I93" i="2"/>
  <c r="N92" i="2"/>
  <c r="G92" i="2"/>
  <c r="I92" i="2"/>
  <c r="N91" i="2"/>
  <c r="G91" i="2"/>
  <c r="I91" i="2"/>
  <c r="N90" i="2"/>
  <c r="G90" i="2"/>
  <c r="I90" i="2"/>
  <c r="N89" i="2"/>
  <c r="G89" i="2"/>
  <c r="I89" i="2"/>
  <c r="N88" i="2"/>
  <c r="G88" i="2"/>
  <c r="I88" i="2"/>
  <c r="N87" i="2"/>
  <c r="N111" i="2" s="1"/>
  <c r="G87" i="2"/>
  <c r="G111" i="2" s="1"/>
  <c r="N82" i="2"/>
  <c r="G82" i="2"/>
  <c r="I82" i="2"/>
  <c r="N81" i="2"/>
  <c r="G81" i="2"/>
  <c r="I81" i="2"/>
  <c r="N80" i="2"/>
  <c r="G80" i="2"/>
  <c r="I80" i="2"/>
  <c r="N79" i="2"/>
  <c r="G79" i="2"/>
  <c r="I79" i="2"/>
  <c r="N78" i="2"/>
  <c r="G78" i="2"/>
  <c r="I78" i="2"/>
  <c r="N77" i="2"/>
  <c r="G77" i="2"/>
  <c r="I77" i="2"/>
  <c r="N76" i="2"/>
  <c r="G76" i="2"/>
  <c r="I76" i="2"/>
  <c r="N75" i="2"/>
  <c r="G75" i="2"/>
  <c r="I75" i="2"/>
  <c r="N74" i="2"/>
  <c r="G74" i="2"/>
  <c r="I74" i="2"/>
  <c r="N73" i="2"/>
  <c r="G73" i="2"/>
  <c r="I73" i="2"/>
  <c r="N72" i="2"/>
  <c r="G72" i="2"/>
  <c r="I72" i="2"/>
  <c r="N71" i="2"/>
  <c r="G71" i="2"/>
  <c r="I71" i="2"/>
  <c r="N70" i="2"/>
  <c r="G70" i="2"/>
  <c r="I70" i="2"/>
  <c r="N69" i="2"/>
  <c r="G69" i="2"/>
  <c r="I69" i="2"/>
  <c r="N68" i="2"/>
  <c r="G68" i="2"/>
  <c r="I68" i="2"/>
  <c r="N67" i="2"/>
  <c r="G67" i="2"/>
  <c r="I67" i="2"/>
  <c r="N66" i="2"/>
  <c r="G66" i="2"/>
  <c r="I66" i="2"/>
  <c r="N65" i="2"/>
  <c r="G65" i="2"/>
  <c r="I65" i="2"/>
  <c r="N64" i="2"/>
  <c r="G64" i="2"/>
  <c r="I64" i="2"/>
  <c r="N63" i="2"/>
  <c r="G63" i="2"/>
  <c r="I63" i="2"/>
  <c r="N62" i="2"/>
  <c r="G62" i="2"/>
  <c r="I62" i="2"/>
  <c r="N61" i="2"/>
  <c r="G61" i="2"/>
  <c r="I61" i="2"/>
  <c r="N60" i="2"/>
  <c r="G60" i="2"/>
  <c r="I60" i="2"/>
  <c r="N59" i="2"/>
  <c r="N83" i="2" s="1"/>
  <c r="G83" i="2"/>
  <c r="N54" i="2"/>
  <c r="G54" i="2"/>
  <c r="I54" i="2"/>
  <c r="N53" i="2"/>
  <c r="G53" i="2"/>
  <c r="I53" i="2"/>
  <c r="N52" i="2"/>
  <c r="G52" i="2"/>
  <c r="I52" i="2"/>
  <c r="N51" i="2"/>
  <c r="G51" i="2"/>
  <c r="I51" i="2"/>
  <c r="N50" i="2"/>
  <c r="G50" i="2"/>
  <c r="I50" i="2"/>
  <c r="N49" i="2"/>
  <c r="G49" i="2"/>
  <c r="I49" i="2"/>
  <c r="N48" i="2"/>
  <c r="G48" i="2"/>
  <c r="I48" i="2"/>
  <c r="N47" i="2"/>
  <c r="G47" i="2"/>
  <c r="I47" i="2"/>
  <c r="N46" i="2"/>
  <c r="G46" i="2"/>
  <c r="I46" i="2"/>
  <c r="N45" i="2"/>
  <c r="G45" i="2"/>
  <c r="I45" i="2"/>
  <c r="N44" i="2"/>
  <c r="G44" i="2"/>
  <c r="I44" i="2"/>
  <c r="N43" i="2"/>
  <c r="G43" i="2"/>
  <c r="I43" i="2"/>
  <c r="N42" i="2"/>
  <c r="G42" i="2"/>
  <c r="I42" i="2"/>
  <c r="N41" i="2"/>
  <c r="G41" i="2"/>
  <c r="I41" i="2"/>
  <c r="G40" i="2"/>
  <c r="I40" i="2"/>
  <c r="G39" i="2"/>
  <c r="I39" i="2"/>
  <c r="G38" i="2"/>
  <c r="I38" i="2"/>
  <c r="G37" i="2"/>
  <c r="I37" i="2"/>
  <c r="N36" i="2"/>
  <c r="G36" i="2"/>
  <c r="I36" i="2"/>
  <c r="N35" i="2"/>
  <c r="G35" i="2"/>
  <c r="I35" i="2"/>
  <c r="N34" i="2"/>
  <c r="G34" i="2"/>
  <c r="I34" i="2"/>
  <c r="N33" i="2"/>
  <c r="G33" i="2"/>
  <c r="I33" i="2"/>
  <c r="N32" i="2"/>
  <c r="G32" i="2"/>
  <c r="I32" i="2"/>
  <c r="N31" i="2"/>
  <c r="N55" i="2" s="1"/>
  <c r="G31" i="2"/>
  <c r="AI29" i="2"/>
  <c r="J20" i="2"/>
  <c r="P17" i="2"/>
  <c r="G55" i="2" l="1"/>
  <c r="G56" i="2"/>
  <c r="EI4" i="43"/>
  <c r="BA4" i="43"/>
  <c r="DF4" i="43"/>
  <c r="DG4" i="43" s="1"/>
  <c r="CZ4" i="43"/>
  <c r="DA4" i="43" s="1"/>
  <c r="DC4" i="43" s="1"/>
  <c r="CB4" i="43"/>
  <c r="CH4" i="43" s="1"/>
  <c r="DU4" i="43"/>
  <c r="DV4" i="43" s="1"/>
  <c r="DW4" i="43" s="1"/>
  <c r="BD4" i="43" s="1"/>
  <c r="EJ33" i="43"/>
  <c r="EJ58" i="43" s="1"/>
  <c r="EJ59" i="43" s="1"/>
  <c r="EK5" i="43" s="1"/>
  <c r="EK33" i="43" l="1"/>
  <c r="EL33" i="43" s="1"/>
  <c r="EM33" i="43" s="1"/>
  <c r="EN33" i="43" s="1"/>
  <c r="EO33" i="43" s="1"/>
  <c r="CR4" i="43"/>
  <c r="CS4" i="43" s="1"/>
  <c r="CT4" i="43" s="1"/>
  <c r="BE4" i="43" s="1"/>
  <c r="DH4" i="43"/>
  <c r="DI4" i="43" s="1"/>
  <c r="BV4" i="43" l="1"/>
  <c r="DX6" i="43"/>
  <c r="EO57" i="43"/>
  <c r="EJ9" i="43" s="1"/>
  <c r="EP33" i="43"/>
  <c r="CU4" i="43"/>
  <c r="DK4" i="43"/>
  <c r="DO4" i="43" s="1"/>
  <c r="DQ4" i="43" s="1"/>
  <c r="DJ4" i="43" l="1"/>
  <c r="DR4" i="43"/>
  <c r="EQ33" i="43"/>
  <c r="DE5" i="43" l="1"/>
  <c r="DS4" i="43"/>
  <c r="BB4" i="43" s="1"/>
  <c r="ER33" i="43"/>
  <c r="ES33" i="43" l="1"/>
  <c r="BA5" i="43"/>
  <c r="D22" i="43" s="1"/>
  <c r="DF5" i="43"/>
  <c r="DG5" i="43" s="1"/>
  <c r="CZ5" i="43"/>
  <c r="DA5" i="43" s="1"/>
  <c r="DC5" i="43" s="1"/>
  <c r="DU5" i="43"/>
  <c r="DV5" i="43" s="1"/>
  <c r="CB5" i="43"/>
  <c r="C31" i="38" l="1"/>
  <c r="DH5" i="43"/>
  <c r="EI5" i="43" s="1"/>
  <c r="EK34" i="43" s="1"/>
  <c r="EK58" i="43" s="1"/>
  <c r="EK59" i="43" s="1"/>
  <c r="EK6" i="43" s="1"/>
  <c r="DW5" i="43"/>
  <c r="BD5" i="43" s="1"/>
  <c r="EF5" i="43"/>
  <c r="EG5" i="43" s="1"/>
  <c r="DM5" i="43" s="1"/>
  <c r="CH5" i="43"/>
  <c r="CR5" i="43" s="1"/>
  <c r="CS5" i="43" s="1"/>
  <c r="ET33" i="43"/>
  <c r="EL34" i="43" l="1"/>
  <c r="EM34" i="43" s="1"/>
  <c r="DI5" i="43"/>
  <c r="DK5" i="43" s="1"/>
  <c r="DN5" i="43"/>
  <c r="EU33" i="43"/>
  <c r="CT5" i="43"/>
  <c r="CU5" i="43" s="1"/>
  <c r="DO5" i="43" l="1"/>
  <c r="DQ5" i="43" s="1"/>
  <c r="EV33" i="43"/>
  <c r="BE5" i="43"/>
  <c r="BV5" i="43"/>
  <c r="DX7" i="43"/>
  <c r="DJ5" i="43"/>
  <c r="EN34" i="43"/>
  <c r="DR5" i="43" l="1"/>
  <c r="DS5" i="43" s="1"/>
  <c r="BB5" i="43" s="1"/>
  <c r="EO34" i="43"/>
  <c r="EW33" i="43"/>
  <c r="DE6" i="43" l="1"/>
  <c r="DU6" i="43" s="1"/>
  <c r="DV6" i="43" s="1"/>
  <c r="DY6" i="43" s="1"/>
  <c r="EA6" i="43" s="1"/>
  <c r="EP34" i="43"/>
  <c r="EX33" i="43"/>
  <c r="DF6" i="43" l="1"/>
  <c r="DG6" i="43" s="1"/>
  <c r="CB6" i="43"/>
  <c r="CH6" i="43" s="1"/>
  <c r="CZ6" i="43"/>
  <c r="DA6" i="43" s="1"/>
  <c r="DC6" i="43" s="1"/>
  <c r="EY33" i="43"/>
  <c r="DW6" i="43"/>
  <c r="EF6" i="43"/>
  <c r="EG6" i="43" s="1"/>
  <c r="DM6" i="43" s="1"/>
  <c r="EQ34" i="43"/>
  <c r="EP57" i="43"/>
  <c r="EJ10" i="43" s="1"/>
  <c r="DH6" i="43" l="1"/>
  <c r="EI6" i="43" s="1"/>
  <c r="EL35" i="43" s="1"/>
  <c r="CR6" i="43"/>
  <c r="CS6" i="43" s="1"/>
  <c r="CT6" i="43" s="1"/>
  <c r="CU6" i="43" s="1"/>
  <c r="CI6" i="43"/>
  <c r="CJ6" i="43" s="1"/>
  <c r="CK6" i="43" s="1"/>
  <c r="BC6" i="43"/>
  <c r="E23" i="43" s="1"/>
  <c r="BF6" i="43"/>
  <c r="E24" i="43" s="1"/>
  <c r="BA6" i="43"/>
  <c r="E22" i="43" s="1"/>
  <c r="BD6" i="43"/>
  <c r="DN6" i="43"/>
  <c r="EZ33" i="43"/>
  <c r="ER34" i="43"/>
  <c r="C32" i="38" l="1"/>
  <c r="DI6" i="43"/>
  <c r="DK6" i="43" s="1"/>
  <c r="DO6" i="43" s="1"/>
  <c r="DQ6" i="43" s="1"/>
  <c r="EM35" i="43"/>
  <c r="EL58" i="43"/>
  <c r="EL59" i="43" s="1"/>
  <c r="EK7" i="43" s="1"/>
  <c r="ES34" i="43"/>
  <c r="BV6" i="43"/>
  <c r="BE6" i="43"/>
  <c r="DX8" i="43"/>
  <c r="FA33" i="43"/>
  <c r="DR6" i="43" l="1"/>
  <c r="EN35" i="43"/>
  <c r="FB33" i="43"/>
  <c r="ET34" i="43"/>
  <c r="DJ6" i="43"/>
  <c r="DS6" i="43" l="1"/>
  <c r="BB6" i="43" s="1"/>
  <c r="DE7" i="43"/>
  <c r="FC33" i="43"/>
  <c r="EU34" i="43"/>
  <c r="EO35" i="43"/>
  <c r="FD33" i="43" l="1"/>
  <c r="EV34" i="43"/>
  <c r="DU7" i="43"/>
  <c r="DV7" i="43" s="1"/>
  <c r="DY7" i="43" s="1"/>
  <c r="EA7" i="43" s="1"/>
  <c r="DF7" i="43"/>
  <c r="DG7" i="43" s="1"/>
  <c r="CB7" i="43"/>
  <c r="CZ7" i="43"/>
  <c r="DA7" i="43" s="1"/>
  <c r="DC7" i="43" s="1"/>
  <c r="EP35" i="43"/>
  <c r="DH7" i="43" l="1"/>
  <c r="DW7" i="43"/>
  <c r="EF7" i="43"/>
  <c r="EG7" i="43" s="1"/>
  <c r="DM7" i="43" s="1"/>
  <c r="FE33" i="43"/>
  <c r="EW34" i="43"/>
  <c r="EQ35" i="43"/>
  <c r="CH7" i="43"/>
  <c r="BD7" i="43" l="1"/>
  <c r="CR7" i="43"/>
  <c r="CS7" i="43" s="1"/>
  <c r="CT7" i="43" s="1"/>
  <c r="CI7" i="43"/>
  <c r="CJ7" i="43" s="1"/>
  <c r="CK7" i="43" s="1"/>
  <c r="BC7" i="43"/>
  <c r="F23" i="43" s="1"/>
  <c r="BF7" i="43"/>
  <c r="F24" i="43" s="1"/>
  <c r="BA7" i="43"/>
  <c r="F22" i="43" s="1"/>
  <c r="DN7" i="43"/>
  <c r="EX34" i="43"/>
  <c r="ER35" i="43"/>
  <c r="EQ57" i="43"/>
  <c r="EJ11" i="43" s="1"/>
  <c r="FF33" i="43"/>
  <c r="EI7" i="43"/>
  <c r="EM36" i="43" s="1"/>
  <c r="DI7" i="43"/>
  <c r="C33" i="38" l="1"/>
  <c r="DK7" i="43"/>
  <c r="DO7" i="43" s="1"/>
  <c r="DQ7" i="43" s="1"/>
  <c r="ES35" i="43"/>
  <c r="EN36" i="43"/>
  <c r="EM58" i="43"/>
  <c r="EM59" i="43" s="1"/>
  <c r="EK8" i="43" s="1"/>
  <c r="BV7" i="43"/>
  <c r="BE7" i="43"/>
  <c r="DX9" i="43"/>
  <c r="FG33" i="43"/>
  <c r="EY34" i="43"/>
  <c r="CU7" i="43"/>
  <c r="EZ34" i="43" l="1"/>
  <c r="ET35" i="43"/>
  <c r="DR7" i="43"/>
  <c r="EO36" i="43"/>
  <c r="DJ7" i="43"/>
  <c r="EU35" i="43" l="1"/>
  <c r="DS7" i="43"/>
  <c r="BB7" i="43" s="1"/>
  <c r="DE8" i="43"/>
  <c r="EP36" i="43"/>
  <c r="FA34" i="43"/>
  <c r="EQ36" i="43" l="1"/>
  <c r="CB8" i="43"/>
  <c r="CZ8" i="43"/>
  <c r="DA8" i="43" s="1"/>
  <c r="DC8" i="43" s="1"/>
  <c r="DF8" i="43"/>
  <c r="DG8" i="43" s="1"/>
  <c r="DU8" i="43"/>
  <c r="DV8" i="43" s="1"/>
  <c r="DY8" i="43" s="1"/>
  <c r="EA8" i="43" s="1"/>
  <c r="EV35" i="43"/>
  <c r="FB34" i="43"/>
  <c r="DH8" i="43" l="1"/>
  <c r="EI8" i="43" s="1"/>
  <c r="EN37" i="43" s="1"/>
  <c r="EO37" i="43" s="1"/>
  <c r="FC34" i="43"/>
  <c r="CH8" i="43"/>
  <c r="EF8" i="43"/>
  <c r="EG8" i="43" s="1"/>
  <c r="DM8" i="43" s="1"/>
  <c r="DW8" i="43"/>
  <c r="EW35" i="43"/>
  <c r="ER36" i="43"/>
  <c r="CR8" i="43" l="1"/>
  <c r="CS8" i="43" s="1"/>
  <c r="CT8" i="43" s="1"/>
  <c r="CI8" i="43"/>
  <c r="CJ8" i="43" s="1"/>
  <c r="CK8" i="43" s="1"/>
  <c r="EN58" i="43"/>
  <c r="EN59" i="43" s="1"/>
  <c r="EK9" i="43" s="1"/>
  <c r="BD8" i="43"/>
  <c r="DI8" i="43"/>
  <c r="DK8" i="43" s="1"/>
  <c r="BC8" i="43"/>
  <c r="G23" i="43" s="1"/>
  <c r="BF8" i="43"/>
  <c r="G24" i="43" s="1"/>
  <c r="BA8" i="43"/>
  <c r="G22" i="43" s="1"/>
  <c r="ES36" i="43"/>
  <c r="ER57" i="43"/>
  <c r="EJ12" i="43" s="1"/>
  <c r="EX35" i="43"/>
  <c r="DN8" i="43"/>
  <c r="EP37" i="43"/>
  <c r="FD34" i="43"/>
  <c r="C34" i="38" l="1"/>
  <c r="DO8" i="43"/>
  <c r="DQ8" i="43" s="1"/>
  <c r="EY35" i="43"/>
  <c r="FE34" i="43"/>
  <c r="ET36" i="43"/>
  <c r="BV8" i="43"/>
  <c r="BE8" i="43"/>
  <c r="DX10" i="43"/>
  <c r="DJ8" i="43"/>
  <c r="EQ37" i="43"/>
  <c r="CU8" i="43"/>
  <c r="DR8" i="43" l="1"/>
  <c r="FF34" i="43"/>
  <c r="EU36" i="43"/>
  <c r="ER37" i="43"/>
  <c r="EZ35" i="43"/>
  <c r="DS8" i="43" l="1"/>
  <c r="BB8" i="43" s="1"/>
  <c r="DE9" i="43"/>
  <c r="DU9" i="43" s="1"/>
  <c r="DV9" i="43" s="1"/>
  <c r="DY9" i="43" s="1"/>
  <c r="EA9" i="43" s="1"/>
  <c r="EV36" i="43"/>
  <c r="FG34" i="43"/>
  <c r="ES37" i="43"/>
  <c r="FA35" i="43"/>
  <c r="CZ9" i="43" l="1"/>
  <c r="DA9" i="43" s="1"/>
  <c r="DC9" i="43" s="1"/>
  <c r="CB9" i="43"/>
  <c r="CH9" i="43" s="1"/>
  <c r="DF9" i="43"/>
  <c r="DG9" i="43" s="1"/>
  <c r="FB35" i="43"/>
  <c r="ET37" i="43"/>
  <c r="ES57" i="43"/>
  <c r="EJ13" i="43" s="1"/>
  <c r="EW36" i="43"/>
  <c r="EF9" i="43"/>
  <c r="EG9" i="43" s="1"/>
  <c r="DM9" i="43" s="1"/>
  <c r="DW9" i="43"/>
  <c r="DH9" i="43" l="1"/>
  <c r="EI9" i="43" s="1"/>
  <c r="EO38" i="43" s="1"/>
  <c r="BD9" i="43"/>
  <c r="CR9" i="43"/>
  <c r="CS9" i="43" s="1"/>
  <c r="CT9" i="43" s="1"/>
  <c r="CI9" i="43"/>
  <c r="CJ9" i="43" s="1"/>
  <c r="CK9" i="43" s="1"/>
  <c r="BF9" i="43"/>
  <c r="H24" i="43" s="1"/>
  <c r="BC9" i="43"/>
  <c r="H23" i="43" s="1"/>
  <c r="BA9" i="43"/>
  <c r="H22" i="43" s="1"/>
  <c r="EU37" i="43"/>
  <c r="FC35" i="43"/>
  <c r="EX36" i="43"/>
  <c r="DN9" i="43"/>
  <c r="C35" i="38" l="1"/>
  <c r="DI9" i="43"/>
  <c r="DK9" i="43" s="1"/>
  <c r="DO9" i="43" s="1"/>
  <c r="DQ9" i="43" s="1"/>
  <c r="EY36" i="43"/>
  <c r="BV9" i="43"/>
  <c r="BE9" i="43"/>
  <c r="DX11" i="43"/>
  <c r="EV37" i="43"/>
  <c r="EP38" i="43"/>
  <c r="EQ38" i="43" s="1"/>
  <c r="ER38" i="43" s="1"/>
  <c r="ES38" i="43" s="1"/>
  <c r="ET38" i="43" s="1"/>
  <c r="EO58" i="43"/>
  <c r="EO59" i="43" s="1"/>
  <c r="EK10" i="43" s="1"/>
  <c r="CU9" i="43"/>
  <c r="FD35" i="43"/>
  <c r="EU38" i="43" l="1"/>
  <c r="EV38" i="43" s="1"/>
  <c r="EW38" i="43" s="1"/>
  <c r="EX38" i="43" s="1"/>
  <c r="EY38" i="43" s="1"/>
  <c r="EZ38" i="43" s="1"/>
  <c r="FA38" i="43" s="1"/>
  <c r="FB38" i="43" s="1"/>
  <c r="FC38" i="43" s="1"/>
  <c r="FD38" i="43" s="1"/>
  <c r="FE38" i="43" s="1"/>
  <c r="FF38" i="43" s="1"/>
  <c r="FG38" i="43" s="1"/>
  <c r="ET57" i="43"/>
  <c r="EJ14" i="43" s="1"/>
  <c r="EW37" i="43"/>
  <c r="DJ9" i="43"/>
  <c r="FE35" i="43"/>
  <c r="EZ36" i="43"/>
  <c r="DR9" i="43"/>
  <c r="DS9" i="43" l="1"/>
  <c r="BB9" i="43" s="1"/>
  <c r="DE10" i="43"/>
  <c r="FA36" i="43"/>
  <c r="FF35" i="43"/>
  <c r="EX37" i="43"/>
  <c r="EY37" i="43" l="1"/>
  <c r="FG35" i="43"/>
  <c r="FB36" i="43"/>
  <c r="DF10" i="43"/>
  <c r="DG10" i="43" s="1"/>
  <c r="CZ10" i="43"/>
  <c r="DA10" i="43" s="1"/>
  <c r="DC10" i="43" s="1"/>
  <c r="DU10" i="43"/>
  <c r="DV10" i="43" s="1"/>
  <c r="DY10" i="43" s="1"/>
  <c r="EA10" i="43" s="1"/>
  <c r="CB10" i="43"/>
  <c r="DH10" i="43" l="1"/>
  <c r="DY11" i="43"/>
  <c r="EA11" i="43" s="1"/>
  <c r="CH10" i="43"/>
  <c r="CI10" i="43" s="1"/>
  <c r="CJ10" i="43" s="1"/>
  <c r="CK10" i="43" s="1"/>
  <c r="EZ37" i="43"/>
  <c r="DW10" i="43"/>
  <c r="EF10" i="43"/>
  <c r="EG10" i="43" s="1"/>
  <c r="DM10" i="43" s="1"/>
  <c r="DN10" i="43" s="1"/>
  <c r="FC36" i="43"/>
  <c r="BD10" i="43" l="1"/>
  <c r="EI10" i="43"/>
  <c r="EP39" i="43" s="1"/>
  <c r="DI10" i="43"/>
  <c r="DK10" i="43" s="1"/>
  <c r="DO10" i="43" s="1"/>
  <c r="DQ10" i="43" s="1"/>
  <c r="DY12" i="43"/>
  <c r="DY13" i="43" s="1"/>
  <c r="DY14" i="43" s="1"/>
  <c r="DY15" i="43" s="1"/>
  <c r="DY16" i="43" s="1"/>
  <c r="DY17" i="43" s="1"/>
  <c r="DY18" i="43" s="1"/>
  <c r="DY19" i="43" s="1"/>
  <c r="DY20" i="43" s="1"/>
  <c r="DY21" i="43" s="1"/>
  <c r="DY22" i="43" s="1"/>
  <c r="BF10" i="43"/>
  <c r="I24" i="43" s="1"/>
  <c r="BC10" i="43"/>
  <c r="I23" i="43" s="1"/>
  <c r="BA10" i="43"/>
  <c r="I22" i="43" s="1"/>
  <c r="FD36" i="43"/>
  <c r="FA37" i="43"/>
  <c r="CR10" i="43"/>
  <c r="CS10" i="43" s="1"/>
  <c r="C36" i="38" l="1"/>
  <c r="EQ39" i="43"/>
  <c r="ER39" i="43" s="1"/>
  <c r="ES39" i="43" s="1"/>
  <c r="ET39" i="43" s="1"/>
  <c r="EU39" i="43" s="1"/>
  <c r="EP58" i="43"/>
  <c r="EP59" i="43" s="1"/>
  <c r="EK11" i="43" s="1"/>
  <c r="BC11" i="43"/>
  <c r="J23" i="43" s="1"/>
  <c r="BF11" i="43"/>
  <c r="J24" i="43" s="1"/>
  <c r="DR10" i="43"/>
  <c r="FE36" i="43"/>
  <c r="DJ10" i="43"/>
  <c r="CT10" i="43"/>
  <c r="FB37" i="43"/>
  <c r="EV39" i="43" l="1"/>
  <c r="EW39" i="43" s="1"/>
  <c r="EX39" i="43" s="1"/>
  <c r="EY39" i="43" s="1"/>
  <c r="EZ39" i="43" s="1"/>
  <c r="FA39" i="43" s="1"/>
  <c r="FB39" i="43" s="1"/>
  <c r="FC39" i="43" s="1"/>
  <c r="FD39" i="43" s="1"/>
  <c r="FE39" i="43" s="1"/>
  <c r="FF39" i="43" s="1"/>
  <c r="FG39" i="43" s="1"/>
  <c r="EU57" i="43"/>
  <c r="EJ15" i="43" s="1"/>
  <c r="BV10" i="43"/>
  <c r="BE10" i="43"/>
  <c r="DX12" i="43"/>
  <c r="EA12" i="43" s="1"/>
  <c r="CU10" i="43"/>
  <c r="FF36" i="43"/>
  <c r="DS10" i="43"/>
  <c r="BB10" i="43" s="1"/>
  <c r="DE11" i="43"/>
  <c r="FC37" i="43"/>
  <c r="FD37" i="43" l="1"/>
  <c r="CB11" i="43"/>
  <c r="DU11" i="43"/>
  <c r="DV11" i="43" s="1"/>
  <c r="CZ11" i="43"/>
  <c r="DA11" i="43" s="1"/>
  <c r="DC11" i="43" s="1"/>
  <c r="DF11" i="43"/>
  <c r="DG11" i="43" s="1"/>
  <c r="BA11" i="43"/>
  <c r="J22" i="43" s="1"/>
  <c r="FG36" i="43"/>
  <c r="C37" i="38" l="1"/>
  <c r="DW11" i="43"/>
  <c r="BD11" i="43" s="1"/>
  <c r="EF11" i="43"/>
  <c r="EG11" i="43" s="1"/>
  <c r="DM11" i="43" s="1"/>
  <c r="DN11" i="43" s="1"/>
  <c r="FE37" i="43"/>
  <c r="CH11" i="43"/>
  <c r="CI11" i="43" s="1"/>
  <c r="CJ11" i="43" s="1"/>
  <c r="CK11" i="43" s="1"/>
  <c r="DH11" i="43"/>
  <c r="BC12" i="43"/>
  <c r="K23" i="43" s="1"/>
  <c r="BF12" i="43"/>
  <c r="K24" i="43" s="1"/>
  <c r="CR11" i="43" l="1"/>
  <c r="CS11" i="43" s="1"/>
  <c r="CT11" i="43" s="1"/>
  <c r="EI11" i="43"/>
  <c r="EQ40" i="43" s="1"/>
  <c r="DI11" i="43"/>
  <c r="FF37" i="43"/>
  <c r="DK11" i="43" l="1"/>
  <c r="DO11" i="43" s="1"/>
  <c r="DQ11" i="43" s="1"/>
  <c r="ER40" i="43"/>
  <c r="ES40" i="43" s="1"/>
  <c r="ET40" i="43" s="1"/>
  <c r="EU40" i="43" s="1"/>
  <c r="EV40" i="43" s="1"/>
  <c r="EQ58" i="43"/>
  <c r="EQ59" i="43" s="1"/>
  <c r="EK12" i="43" s="1"/>
  <c r="BV11" i="43"/>
  <c r="BE11" i="43"/>
  <c r="DX13" i="43"/>
  <c r="EA13" i="43" s="1"/>
  <c r="FG37" i="43"/>
  <c r="CU11" i="43"/>
  <c r="EW40" i="43" l="1"/>
  <c r="EX40" i="43" s="1"/>
  <c r="EY40" i="43" s="1"/>
  <c r="EZ40" i="43" s="1"/>
  <c r="FA40" i="43" s="1"/>
  <c r="FB40" i="43" s="1"/>
  <c r="FC40" i="43" s="1"/>
  <c r="FD40" i="43" s="1"/>
  <c r="FE40" i="43" s="1"/>
  <c r="FF40" i="43" s="1"/>
  <c r="FG40" i="43" s="1"/>
  <c r="EV57" i="43"/>
  <c r="EJ16" i="43" s="1"/>
  <c r="DR11" i="43"/>
  <c r="DJ11" i="43"/>
  <c r="DS11" i="43" l="1"/>
  <c r="BB11" i="43" s="1"/>
  <c r="DE12" i="43"/>
  <c r="BF13" i="43"/>
  <c r="L24" i="43" s="1"/>
  <c r="BC13" i="43"/>
  <c r="L23" i="43" s="1"/>
  <c r="DU12" i="43" l="1"/>
  <c r="DV12" i="43" s="1"/>
  <c r="DF12" i="43"/>
  <c r="DG12" i="43" s="1"/>
  <c r="CB12" i="43"/>
  <c r="CZ12" i="43"/>
  <c r="DA12" i="43" s="1"/>
  <c r="DC12" i="43" s="1"/>
  <c r="BA12" i="43"/>
  <c r="K22" i="43" s="1"/>
  <c r="C38" i="38" l="1"/>
  <c r="DH12" i="43"/>
  <c r="CH12" i="43"/>
  <c r="CI12" i="43" s="1"/>
  <c r="CJ12" i="43" s="1"/>
  <c r="CK12" i="43" s="1"/>
  <c r="DW12" i="43"/>
  <c r="BD12" i="43" s="1"/>
  <c r="EF12" i="43"/>
  <c r="EG12" i="43" s="1"/>
  <c r="DM12" i="43" s="1"/>
  <c r="DN12" i="43" s="1"/>
  <c r="CR12" i="43" l="1"/>
  <c r="CS12" i="43" s="1"/>
  <c r="EI12" i="43"/>
  <c r="ER41" i="43" s="1"/>
  <c r="DI12" i="43"/>
  <c r="DK12" i="43" l="1"/>
  <c r="DO12" i="43" s="1"/>
  <c r="DQ12" i="43" s="1"/>
  <c r="ES41" i="43"/>
  <c r="ET41" i="43" s="1"/>
  <c r="EU41" i="43" s="1"/>
  <c r="EV41" i="43" s="1"/>
  <c r="EW41" i="43" s="1"/>
  <c r="ER58" i="43"/>
  <c r="ER59" i="43" s="1"/>
  <c r="EK13" i="43" s="1"/>
  <c r="CT12" i="43"/>
  <c r="DR12" i="43" l="1"/>
  <c r="EX41" i="43"/>
  <c r="EY41" i="43" s="1"/>
  <c r="EZ41" i="43" s="1"/>
  <c r="FA41" i="43" s="1"/>
  <c r="FB41" i="43" s="1"/>
  <c r="FC41" i="43" s="1"/>
  <c r="FD41" i="43" s="1"/>
  <c r="FE41" i="43" s="1"/>
  <c r="FF41" i="43" s="1"/>
  <c r="FG41" i="43" s="1"/>
  <c r="EW57" i="43"/>
  <c r="EJ17" i="43" s="1"/>
  <c r="BV12" i="43"/>
  <c r="BE12" i="43"/>
  <c r="DX14" i="43"/>
  <c r="EA14" i="43" s="1"/>
  <c r="CU12" i="43"/>
  <c r="DJ12" i="43"/>
  <c r="DS12" i="43" l="1"/>
  <c r="BB12" i="43" s="1"/>
  <c r="DE13" i="43"/>
  <c r="DF13" i="43" l="1"/>
  <c r="DG13" i="43" s="1"/>
  <c r="DU13" i="43"/>
  <c r="DV13" i="43" s="1"/>
  <c r="CB13" i="43"/>
  <c r="CZ13" i="43"/>
  <c r="DA13" i="43" s="1"/>
  <c r="DC13" i="43" s="1"/>
  <c r="BA13" i="43"/>
  <c r="L22" i="43" s="1"/>
  <c r="BC14" i="43"/>
  <c r="M23" i="43" s="1"/>
  <c r="BF14" i="43"/>
  <c r="M24" i="43" s="1"/>
  <c r="C39" i="38" l="1"/>
  <c r="CH13" i="43"/>
  <c r="CI13" i="43" s="1"/>
  <c r="CJ13" i="43" s="1"/>
  <c r="CK13" i="43" s="1"/>
  <c r="DW13" i="43"/>
  <c r="BD13" i="43" s="1"/>
  <c r="EF13" i="43"/>
  <c r="EG13" i="43" s="1"/>
  <c r="DM13" i="43" s="1"/>
  <c r="DN13" i="43" s="1"/>
  <c r="DH13" i="43"/>
  <c r="EI13" i="43" l="1"/>
  <c r="ES42" i="43" s="1"/>
  <c r="DI13" i="43"/>
  <c r="CR13" i="43"/>
  <c r="CS13" i="43" s="1"/>
  <c r="CT13" i="43" l="1"/>
  <c r="DK13" i="43"/>
  <c r="DO13" i="43" s="1"/>
  <c r="DQ13" i="43" s="1"/>
  <c r="ET42" i="43"/>
  <c r="EU42" i="43" s="1"/>
  <c r="EV42" i="43" s="1"/>
  <c r="EW42" i="43" s="1"/>
  <c r="EX42" i="43" s="1"/>
  <c r="ES58" i="43"/>
  <c r="ES59" i="43" s="1"/>
  <c r="EK14" i="43" s="1"/>
  <c r="DR13" i="43" l="1"/>
  <c r="DJ13" i="43"/>
  <c r="BV13" i="43"/>
  <c r="BE13" i="43"/>
  <c r="DX15" i="43"/>
  <c r="EA15" i="43" s="1"/>
  <c r="EY42" i="43"/>
  <c r="EZ42" i="43" s="1"/>
  <c r="FA42" i="43" s="1"/>
  <c r="FB42" i="43" s="1"/>
  <c r="FC42" i="43" s="1"/>
  <c r="FD42" i="43" s="1"/>
  <c r="FE42" i="43" s="1"/>
  <c r="FF42" i="43" s="1"/>
  <c r="FG42" i="43" s="1"/>
  <c r="EX57" i="43"/>
  <c r="EJ18" i="43" s="1"/>
  <c r="CU13" i="43"/>
  <c r="DS13" i="43" l="1"/>
  <c r="BB13" i="43" s="1"/>
  <c r="DE14" i="43"/>
  <c r="DF14" i="43" l="1"/>
  <c r="DG14" i="43" s="1"/>
  <c r="CB14" i="43"/>
  <c r="CZ14" i="43"/>
  <c r="DA14" i="43" s="1"/>
  <c r="DC14" i="43" s="1"/>
  <c r="DU14" i="43"/>
  <c r="DV14" i="43" s="1"/>
  <c r="BA14" i="43"/>
  <c r="M22" i="43" s="1"/>
  <c r="BF15" i="43"/>
  <c r="N24" i="43" s="1"/>
  <c r="BC15" i="43"/>
  <c r="N23" i="43" s="1"/>
  <c r="C40" i="38" l="1"/>
  <c r="DW14" i="43"/>
  <c r="BD14" i="43" s="1"/>
  <c r="EF14" i="43"/>
  <c r="EG14" i="43" s="1"/>
  <c r="DM14" i="43" s="1"/>
  <c r="DN14" i="43" s="1"/>
  <c r="CH14" i="43"/>
  <c r="CI14" i="43" s="1"/>
  <c r="CJ14" i="43" s="1"/>
  <c r="CK14" i="43" s="1"/>
  <c r="DH14" i="43"/>
  <c r="CR14" i="43" l="1"/>
  <c r="CS14" i="43" s="1"/>
  <c r="CT14" i="43" s="1"/>
  <c r="EI14" i="43"/>
  <c r="ET43" i="43" s="1"/>
  <c r="DI14" i="43"/>
  <c r="EU43" i="43" l="1"/>
  <c r="EV43" i="43" s="1"/>
  <c r="EW43" i="43" s="1"/>
  <c r="EX43" i="43" s="1"/>
  <c r="EY43" i="43" s="1"/>
  <c r="ET58" i="43"/>
  <c r="ET59" i="43" s="1"/>
  <c r="EK15" i="43" s="1"/>
  <c r="DK14" i="43"/>
  <c r="DO14" i="43" s="1"/>
  <c r="DQ14" i="43" s="1"/>
  <c r="BV14" i="43"/>
  <c r="BE14" i="43"/>
  <c r="DX16" i="43"/>
  <c r="EA16" i="43" s="1"/>
  <c r="CU14" i="43"/>
  <c r="DR14" i="43" l="1"/>
  <c r="DJ14" i="43"/>
  <c r="EZ43" i="43"/>
  <c r="FA43" i="43" s="1"/>
  <c r="FB43" i="43" s="1"/>
  <c r="FC43" i="43" s="1"/>
  <c r="FD43" i="43" s="1"/>
  <c r="FE43" i="43" s="1"/>
  <c r="FF43" i="43" s="1"/>
  <c r="FG43" i="43" s="1"/>
  <c r="EY57" i="43"/>
  <c r="EJ19" i="43" s="1"/>
  <c r="BC16" i="43" l="1"/>
  <c r="O23" i="43" s="1"/>
  <c r="BF16" i="43"/>
  <c r="O24" i="43" s="1"/>
  <c r="DS14" i="43"/>
  <c r="BB14" i="43" s="1"/>
  <c r="DE15" i="43"/>
  <c r="CZ15" i="43" l="1"/>
  <c r="DA15" i="43" s="1"/>
  <c r="DC15" i="43" s="1"/>
  <c r="DU15" i="43"/>
  <c r="DV15" i="43" s="1"/>
  <c r="CB15" i="43"/>
  <c r="DF15" i="43"/>
  <c r="DG15" i="43" s="1"/>
  <c r="BA15" i="43"/>
  <c r="N22" i="43" s="1"/>
  <c r="C41" i="38" l="1"/>
  <c r="DH15" i="43"/>
  <c r="EI15" i="43" s="1"/>
  <c r="EU44" i="43" s="1"/>
  <c r="EV44" i="43" s="1"/>
  <c r="EW44" i="43" s="1"/>
  <c r="EX44" i="43" s="1"/>
  <c r="EY44" i="43" s="1"/>
  <c r="EZ44" i="43" s="1"/>
  <c r="CH15" i="43"/>
  <c r="CI15" i="43" s="1"/>
  <c r="CJ15" i="43" s="1"/>
  <c r="CK15" i="43" s="1"/>
  <c r="DW15" i="43"/>
  <c r="BD15" i="43" s="1"/>
  <c r="EF15" i="43"/>
  <c r="EG15" i="43" s="1"/>
  <c r="DM15" i="43" s="1"/>
  <c r="DN15" i="43" s="1"/>
  <c r="DI15" i="43" l="1"/>
  <c r="DK15" i="43" s="1"/>
  <c r="DO15" i="43" s="1"/>
  <c r="DQ15" i="43" s="1"/>
  <c r="EU58" i="43"/>
  <c r="EU59" i="43" s="1"/>
  <c r="EK16" i="43" s="1"/>
  <c r="CR15" i="43"/>
  <c r="CS15" i="43" s="1"/>
  <c r="FA44" i="43"/>
  <c r="FB44" i="43" s="1"/>
  <c r="FC44" i="43" s="1"/>
  <c r="FD44" i="43" s="1"/>
  <c r="FE44" i="43" s="1"/>
  <c r="FF44" i="43" s="1"/>
  <c r="FG44" i="43" s="1"/>
  <c r="EZ57" i="43"/>
  <c r="EJ20" i="43" s="1"/>
  <c r="CT15" i="43" l="1"/>
  <c r="DR15" i="43"/>
  <c r="DJ15" i="43"/>
  <c r="BV15" i="43" l="1"/>
  <c r="BE15" i="43"/>
  <c r="DX17" i="43"/>
  <c r="EA17" i="43" s="1"/>
  <c r="DS15" i="43"/>
  <c r="BB15" i="43" s="1"/>
  <c r="DE16" i="43"/>
  <c r="CU15" i="43"/>
  <c r="DF16" i="43" l="1"/>
  <c r="DG16" i="43" s="1"/>
  <c r="CZ16" i="43"/>
  <c r="DA16" i="43" s="1"/>
  <c r="DC16" i="43" s="1"/>
  <c r="DU16" i="43"/>
  <c r="DV16" i="43" s="1"/>
  <c r="CB16" i="43"/>
  <c r="BA16" i="43"/>
  <c r="O22" i="43" s="1"/>
  <c r="C42" i="38" l="1"/>
  <c r="DH16" i="43"/>
  <c r="CH16" i="43"/>
  <c r="CI16" i="43" s="1"/>
  <c r="CJ16" i="43" s="1"/>
  <c r="CK16" i="43" s="1"/>
  <c r="EF16" i="43"/>
  <c r="EG16" i="43" s="1"/>
  <c r="DM16" i="43" s="1"/>
  <c r="DN16" i="43" s="1"/>
  <c r="DW16" i="43"/>
  <c r="BD16" i="43" s="1"/>
  <c r="BC17" i="43"/>
  <c r="P23" i="43" s="1"/>
  <c r="BF17" i="43"/>
  <c r="P24" i="43" s="1"/>
  <c r="CR16" i="43" l="1"/>
  <c r="CS16" i="43" s="1"/>
  <c r="CT16" i="43" s="1"/>
  <c r="CU16" i="43" s="1"/>
  <c r="EI16" i="43"/>
  <c r="EV45" i="43" s="1"/>
  <c r="DI16" i="43"/>
  <c r="DK16" i="43" l="1"/>
  <c r="DO16" i="43" s="1"/>
  <c r="DQ16" i="43" s="1"/>
  <c r="EW45" i="43"/>
  <c r="EX45" i="43" s="1"/>
  <c r="EY45" i="43" s="1"/>
  <c r="EZ45" i="43" s="1"/>
  <c r="FA45" i="43" s="1"/>
  <c r="EV58" i="43"/>
  <c r="EV59" i="43" s="1"/>
  <c r="EK17" i="43" s="1"/>
  <c r="BV16" i="43"/>
  <c r="BE16" i="43"/>
  <c r="DX18" i="43"/>
  <c r="EA18" i="43" s="1"/>
  <c r="DR16" i="43" l="1"/>
  <c r="FB45" i="43"/>
  <c r="FC45" i="43" s="1"/>
  <c r="FD45" i="43" s="1"/>
  <c r="FE45" i="43" s="1"/>
  <c r="FF45" i="43" s="1"/>
  <c r="FG45" i="43" s="1"/>
  <c r="FA57" i="43"/>
  <c r="EJ21" i="43" s="1"/>
  <c r="DJ16" i="43"/>
  <c r="DS16" i="43" l="1"/>
  <c r="BB16" i="43" s="1"/>
  <c r="DE17" i="43"/>
  <c r="BC18" i="43"/>
  <c r="Q23" i="43" s="1"/>
  <c r="BF18" i="43"/>
  <c r="Q24" i="43" s="1"/>
  <c r="DF17" i="43" l="1"/>
  <c r="DG17" i="43" s="1"/>
  <c r="CZ17" i="43"/>
  <c r="DA17" i="43" s="1"/>
  <c r="DC17" i="43" s="1"/>
  <c r="CB17" i="43"/>
  <c r="DU17" i="43"/>
  <c r="DV17" i="43" s="1"/>
  <c r="BA17" i="43"/>
  <c r="P22" i="43" s="1"/>
  <c r="C43" i="38" l="1"/>
  <c r="DW17" i="43"/>
  <c r="BD17" i="43" s="1"/>
  <c r="EF17" i="43"/>
  <c r="EG17" i="43" s="1"/>
  <c r="DM17" i="43" s="1"/>
  <c r="DN17" i="43" s="1"/>
  <c r="CH17" i="43"/>
  <c r="CI17" i="43" s="1"/>
  <c r="CJ17" i="43" s="1"/>
  <c r="CK17" i="43" s="1"/>
  <c r="DH17" i="43"/>
  <c r="CR17" i="43" l="1"/>
  <c r="CS17" i="43" s="1"/>
  <c r="EI17" i="43"/>
  <c r="EW46" i="43" s="1"/>
  <c r="DI17" i="43"/>
  <c r="DK17" i="43" l="1"/>
  <c r="DO17" i="43" s="1"/>
  <c r="DQ17" i="43" s="1"/>
  <c r="EX46" i="43"/>
  <c r="EY46" i="43" s="1"/>
  <c r="EZ46" i="43" s="1"/>
  <c r="FA46" i="43" s="1"/>
  <c r="FB46" i="43" s="1"/>
  <c r="EW58" i="43"/>
  <c r="EW59" i="43" s="1"/>
  <c r="EK18" i="43" s="1"/>
  <c r="CT17" i="43"/>
  <c r="CU17" i="43" s="1"/>
  <c r="DR17" i="43" l="1"/>
  <c r="FC46" i="43"/>
  <c r="FD46" i="43" s="1"/>
  <c r="FE46" i="43" s="1"/>
  <c r="FF46" i="43" s="1"/>
  <c r="FG46" i="43" s="1"/>
  <c r="FB57" i="43"/>
  <c r="EJ22" i="43" s="1"/>
  <c r="BV17" i="43"/>
  <c r="BE17" i="43"/>
  <c r="DX19" i="43"/>
  <c r="EA19" i="43" s="1"/>
  <c r="DJ17" i="43"/>
  <c r="DS17" i="43" l="1"/>
  <c r="BB17" i="43" s="1"/>
  <c r="DE18" i="43"/>
  <c r="CZ18" i="43" l="1"/>
  <c r="DA18" i="43" s="1"/>
  <c r="DC18" i="43" s="1"/>
  <c r="CB18" i="43"/>
  <c r="DF18" i="43"/>
  <c r="DG18" i="43" s="1"/>
  <c r="DU18" i="43"/>
  <c r="DV18" i="43" s="1"/>
  <c r="BA18" i="43"/>
  <c r="Q22" i="43" s="1"/>
  <c r="BF19" i="43"/>
  <c r="R24" i="43" s="1"/>
  <c r="BC19" i="43"/>
  <c r="R23" i="43" s="1"/>
  <c r="C44" i="38" l="1"/>
  <c r="DH18" i="43"/>
  <c r="EI18" i="43" s="1"/>
  <c r="EX47" i="43" s="1"/>
  <c r="EY47" i="43" s="1"/>
  <c r="EZ47" i="43" s="1"/>
  <c r="FA47" i="43" s="1"/>
  <c r="FB47" i="43" s="1"/>
  <c r="FC47" i="43" s="1"/>
  <c r="DW18" i="43"/>
  <c r="BD18" i="43" s="1"/>
  <c r="EF18" i="43"/>
  <c r="EG18" i="43" s="1"/>
  <c r="DM18" i="43" s="1"/>
  <c r="DN18" i="43" s="1"/>
  <c r="CH18" i="43"/>
  <c r="CI18" i="43" s="1"/>
  <c r="CJ18" i="43" s="1"/>
  <c r="CK18" i="43" s="1"/>
  <c r="DI18" i="43" l="1"/>
  <c r="DK18" i="43" s="1"/>
  <c r="DO18" i="43" s="1"/>
  <c r="DQ18" i="43" s="1"/>
  <c r="EX58" i="43"/>
  <c r="EX59" i="43" s="1"/>
  <c r="EK19" i="43" s="1"/>
  <c r="FD47" i="43"/>
  <c r="FE47" i="43" s="1"/>
  <c r="FF47" i="43" s="1"/>
  <c r="FG47" i="43" s="1"/>
  <c r="FC57" i="43"/>
  <c r="EJ23" i="43" s="1"/>
  <c r="CR18" i="43"/>
  <c r="CS18" i="43" s="1"/>
  <c r="DR18" i="43" l="1"/>
  <c r="DJ18" i="43"/>
  <c r="CT18" i="43"/>
  <c r="CU18" i="43" s="1"/>
  <c r="DS18" i="43" l="1"/>
  <c r="BB18" i="43" s="1"/>
  <c r="DE19" i="43"/>
  <c r="BV18" i="43"/>
  <c r="BE18" i="43"/>
  <c r="DX20" i="43"/>
  <c r="EA20" i="43" s="1"/>
  <c r="CB19" i="43" l="1"/>
  <c r="CZ19" i="43"/>
  <c r="DA19" i="43" s="1"/>
  <c r="DC19" i="43" s="1"/>
  <c r="DF19" i="43"/>
  <c r="DG19" i="43" s="1"/>
  <c r="DU19" i="43"/>
  <c r="DV19" i="43" s="1"/>
  <c r="BA19" i="43"/>
  <c r="R22" i="43" s="1"/>
  <c r="C45" i="38" l="1"/>
  <c r="DH19" i="43"/>
  <c r="EI19" i="43" s="1"/>
  <c r="EY48" i="43" s="1"/>
  <c r="EZ48" i="43" s="1"/>
  <c r="FA48" i="43" s="1"/>
  <c r="FB48" i="43" s="1"/>
  <c r="FC48" i="43" s="1"/>
  <c r="FD48" i="43" s="1"/>
  <c r="DW19" i="43"/>
  <c r="BD19" i="43" s="1"/>
  <c r="EF19" i="43"/>
  <c r="EG19" i="43" s="1"/>
  <c r="DM19" i="43" s="1"/>
  <c r="DN19" i="43" s="1"/>
  <c r="BF20" i="43"/>
  <c r="S24" i="43" s="1"/>
  <c r="BC20" i="43"/>
  <c r="S23" i="43" s="1"/>
  <c r="CH19" i="43"/>
  <c r="CI19" i="43" s="1"/>
  <c r="CJ19" i="43" s="1"/>
  <c r="CK19" i="43" s="1"/>
  <c r="EY58" i="43" l="1"/>
  <c r="EY59" i="43" s="1"/>
  <c r="EK20" i="43" s="1"/>
  <c r="DI19" i="43"/>
  <c r="DK19" i="43" s="1"/>
  <c r="DO19" i="43" s="1"/>
  <c r="DQ19" i="43" s="1"/>
  <c r="FE48" i="43"/>
  <c r="FF48" i="43" s="1"/>
  <c r="FG48" i="43" s="1"/>
  <c r="FD57" i="43"/>
  <c r="EJ24" i="43" s="1"/>
  <c r="CR19" i="43"/>
  <c r="CS19" i="43" s="1"/>
  <c r="DR19" i="43" l="1"/>
  <c r="DJ19" i="43"/>
  <c r="CT19" i="43"/>
  <c r="BV19" i="43" l="1"/>
  <c r="BE19" i="43"/>
  <c r="DX21" i="43"/>
  <c r="EA21" i="43" s="1"/>
  <c r="DS19" i="43"/>
  <c r="BB19" i="43" s="1"/>
  <c r="DE20" i="43"/>
  <c r="CU19" i="43"/>
  <c r="CB20" i="43" l="1"/>
  <c r="DF20" i="43"/>
  <c r="DG20" i="43" s="1"/>
  <c r="DU20" i="43"/>
  <c r="DV20" i="43" s="1"/>
  <c r="CZ20" i="43"/>
  <c r="DA20" i="43" s="1"/>
  <c r="DC20" i="43" s="1"/>
  <c r="BA20" i="43"/>
  <c r="S22" i="43" s="1"/>
  <c r="C46" i="38" l="1"/>
  <c r="DH20" i="43"/>
  <c r="CH20" i="43"/>
  <c r="CI20" i="43" s="1"/>
  <c r="CJ20" i="43" s="1"/>
  <c r="CK20" i="43" s="1"/>
  <c r="DW20" i="43"/>
  <c r="EF20" i="43"/>
  <c r="EG20" i="43" s="1"/>
  <c r="DM20" i="43" s="1"/>
  <c r="DN20" i="43" s="1"/>
  <c r="BC21" i="43"/>
  <c r="T23" i="43" s="1"/>
  <c r="BF21" i="43"/>
  <c r="T24" i="43" s="1"/>
  <c r="BD20" i="43" l="1"/>
  <c r="CR20" i="43"/>
  <c r="CS20" i="43" s="1"/>
  <c r="CT20" i="43" s="1"/>
  <c r="EI20" i="43"/>
  <c r="EZ49" i="43" s="1"/>
  <c r="DI20" i="43"/>
  <c r="FA49" i="43" l="1"/>
  <c r="FB49" i="43" s="1"/>
  <c r="FC49" i="43" s="1"/>
  <c r="FD49" i="43" s="1"/>
  <c r="FE49" i="43" s="1"/>
  <c r="EZ58" i="43"/>
  <c r="EZ59" i="43" s="1"/>
  <c r="EK21" i="43" s="1"/>
  <c r="DK20" i="43"/>
  <c r="DO20" i="43" s="1"/>
  <c r="DQ20" i="43" s="1"/>
  <c r="BV20" i="43"/>
  <c r="BE20" i="43"/>
  <c r="DX22" i="43"/>
  <c r="EA22" i="43" s="1"/>
  <c r="CU20" i="43"/>
  <c r="DR20" i="43" l="1"/>
  <c r="DJ20" i="43"/>
  <c r="FF49" i="43"/>
  <c r="FG49" i="43" s="1"/>
  <c r="FE57" i="43"/>
  <c r="EJ25" i="43" s="1"/>
  <c r="BF22" i="43" l="1"/>
  <c r="U24" i="43" s="1"/>
  <c r="BC22" i="43"/>
  <c r="U23" i="43" s="1"/>
  <c r="DS20" i="43"/>
  <c r="BB20" i="43" s="1"/>
  <c r="DE21" i="43"/>
  <c r="DU21" i="43" l="1"/>
  <c r="DV21" i="43" s="1"/>
  <c r="DF21" i="43"/>
  <c r="DG21" i="43" s="1"/>
  <c r="CB21" i="43"/>
  <c r="CZ21" i="43"/>
  <c r="DA21" i="43" s="1"/>
  <c r="DC21" i="43" s="1"/>
  <c r="BA21" i="43"/>
  <c r="T22" i="43" s="1"/>
  <c r="C47" i="38" l="1"/>
  <c r="DH21" i="43"/>
  <c r="CH21" i="43"/>
  <c r="CI21" i="43" s="1"/>
  <c r="CJ21" i="43" s="1"/>
  <c r="CK21" i="43" s="1"/>
  <c r="AW24" i="43"/>
  <c r="AY55" i="43"/>
  <c r="DW21" i="43"/>
  <c r="EF21" i="43"/>
  <c r="EG21" i="43" s="1"/>
  <c r="DM21" i="43" s="1"/>
  <c r="DN21" i="43" s="1"/>
  <c r="BD21" i="43" l="1"/>
  <c r="DZ25" i="43"/>
  <c r="DZ24" i="43"/>
  <c r="DZ28" i="43"/>
  <c r="DZ26" i="43"/>
  <c r="DZ27" i="43"/>
  <c r="CR21" i="43"/>
  <c r="CS21" i="43" s="1"/>
  <c r="EI21" i="43"/>
  <c r="FA50" i="43" s="1"/>
  <c r="DI21" i="43"/>
  <c r="DK21" i="43" l="1"/>
  <c r="DO21" i="43" s="1"/>
  <c r="DQ21" i="43" s="1"/>
  <c r="FB50" i="43"/>
  <c r="FC50" i="43" s="1"/>
  <c r="FD50" i="43" s="1"/>
  <c r="FE50" i="43" s="1"/>
  <c r="FF50" i="43" s="1"/>
  <c r="FA58" i="43"/>
  <c r="FA59" i="43" s="1"/>
  <c r="EK22" i="43" s="1"/>
  <c r="CT21" i="43"/>
  <c r="DR21" i="43" l="1"/>
  <c r="FG50" i="43"/>
  <c r="FF57" i="43"/>
  <c r="EJ26" i="43" s="1"/>
  <c r="BV21" i="43"/>
  <c r="BE21" i="43"/>
  <c r="DX23" i="43"/>
  <c r="CU21" i="43"/>
  <c r="DJ21" i="43"/>
  <c r="DS21" i="43" l="1"/>
  <c r="BB21" i="43" s="1"/>
  <c r="DE22" i="43"/>
  <c r="DU22" i="43" l="1"/>
  <c r="DV22" i="43" s="1"/>
  <c r="CB22" i="43"/>
  <c r="CZ22" i="43"/>
  <c r="DA22" i="43" s="1"/>
  <c r="DC22" i="43" s="1"/>
  <c r="DF22" i="43"/>
  <c r="DG22" i="43" s="1"/>
  <c r="BA22" i="43"/>
  <c r="U22" i="43" s="1"/>
  <c r="C48" i="38" l="1"/>
  <c r="DH22" i="43"/>
  <c r="CH22" i="43"/>
  <c r="CR22" i="43" s="1"/>
  <c r="CS22" i="43" s="1"/>
  <c r="DW22" i="43"/>
  <c r="BD22" i="43" s="1"/>
  <c r="EF22" i="43"/>
  <c r="EG22" i="43" s="1"/>
  <c r="DM22" i="43" s="1"/>
  <c r="DN22" i="43" s="1"/>
  <c r="CT22" i="43" l="1"/>
  <c r="EI22" i="43"/>
  <c r="FB51" i="43" s="1"/>
  <c r="DI22" i="43"/>
  <c r="FC51" i="43" l="1"/>
  <c r="FD51" i="43" s="1"/>
  <c r="FE51" i="43" s="1"/>
  <c r="FF51" i="43" s="1"/>
  <c r="FG51" i="43" s="1"/>
  <c r="FG57" i="43" s="1"/>
  <c r="FB58" i="43"/>
  <c r="FB59" i="43" s="1"/>
  <c r="EK23" i="43" s="1"/>
  <c r="DK22" i="43"/>
  <c r="DO22" i="43" s="1"/>
  <c r="DQ22" i="43" s="1"/>
  <c r="BV22" i="43"/>
  <c r="BE22" i="43"/>
  <c r="DX24" i="43"/>
  <c r="CU22" i="43"/>
  <c r="DR22" i="43" l="1"/>
  <c r="DJ22" i="43"/>
  <c r="EJ27" i="43"/>
  <c r="EJ28" i="43"/>
  <c r="DS22" i="43" l="1"/>
  <c r="BB22" i="43" s="1"/>
  <c r="DE23" i="43"/>
  <c r="DF23" i="43" l="1"/>
  <c r="DG23" i="43" s="1"/>
  <c r="DU23" i="43"/>
  <c r="DV23" i="43" s="1"/>
  <c r="DY23" i="43" s="1"/>
  <c r="EA23" i="43" s="1"/>
  <c r="CB23" i="43"/>
  <c r="CZ23" i="43"/>
  <c r="DA23" i="43" s="1"/>
  <c r="DC23" i="43" s="1"/>
  <c r="BF23" i="43" l="1"/>
  <c r="V24" i="43" s="1"/>
  <c r="BC23" i="43"/>
  <c r="V23" i="43" s="1"/>
  <c r="BA23" i="43"/>
  <c r="V22" i="43" s="1"/>
  <c r="CH23" i="43"/>
  <c r="CR23" i="43" s="1"/>
  <c r="CS23" i="43" s="1"/>
  <c r="DW23" i="43"/>
  <c r="BD23" i="43" s="1"/>
  <c r="EF23" i="43"/>
  <c r="EG23" i="43" s="1"/>
  <c r="DM23" i="43" s="1"/>
  <c r="DN23" i="43" s="1"/>
  <c r="DH23" i="43"/>
  <c r="C49" i="38" l="1"/>
  <c r="CT23" i="43"/>
  <c r="DX25" i="43" s="1"/>
  <c r="EI23" i="43"/>
  <c r="FC52" i="43" s="1"/>
  <c r="DI23" i="43"/>
  <c r="BV23" i="43" l="1"/>
  <c r="BE23" i="43"/>
  <c r="FD52" i="43"/>
  <c r="FE52" i="43" s="1"/>
  <c r="FF52" i="43" s="1"/>
  <c r="FG52" i="43" s="1"/>
  <c r="FC58" i="43"/>
  <c r="FC59" i="43" s="1"/>
  <c r="EK24" i="43" s="1"/>
  <c r="CU23" i="43"/>
  <c r="DK23" i="43"/>
  <c r="DO23" i="43" s="1"/>
  <c r="DQ23" i="43" s="1"/>
  <c r="DR23" i="43" l="1"/>
  <c r="DJ23" i="43"/>
  <c r="DS23" i="43" l="1"/>
  <c r="BB23" i="43" s="1"/>
  <c r="DE24" i="43"/>
  <c r="CZ24" i="43" l="1"/>
  <c r="DA24" i="43" s="1"/>
  <c r="DC24" i="43" s="1"/>
  <c r="DU24" i="43"/>
  <c r="DV24" i="43" s="1"/>
  <c r="DF24" i="43"/>
  <c r="DG24" i="43" s="1"/>
  <c r="CB24" i="43"/>
  <c r="DH24" i="43" l="1"/>
  <c r="EI24" i="43" s="1"/>
  <c r="FD53" i="43" s="1"/>
  <c r="FE53" i="43" s="1"/>
  <c r="FF53" i="43" s="1"/>
  <c r="FG53" i="43" s="1"/>
  <c r="CH24" i="43"/>
  <c r="CR24" i="43" s="1"/>
  <c r="CS24" i="43" s="1"/>
  <c r="DY24" i="43"/>
  <c r="EA24" i="43" s="1"/>
  <c r="DW24" i="43"/>
  <c r="EF24" i="43"/>
  <c r="EG24" i="43" s="1"/>
  <c r="DM24" i="43" s="1"/>
  <c r="DN24" i="43" s="1"/>
  <c r="FD58" i="43" l="1"/>
  <c r="FD59" i="43" s="1"/>
  <c r="EK25" i="43" s="1"/>
  <c r="DI24" i="43"/>
  <c r="DK24" i="43" s="1"/>
  <c r="DO24" i="43" s="1"/>
  <c r="DQ24" i="43" s="1"/>
  <c r="CT24" i="43"/>
  <c r="BV24" i="43" l="1"/>
  <c r="DX26" i="43"/>
  <c r="CU24" i="43"/>
  <c r="BD24" i="43"/>
  <c r="BC24" i="43"/>
  <c r="W23" i="43" s="1"/>
  <c r="BA24" i="43"/>
  <c r="W22" i="43" s="1"/>
  <c r="BF24" i="43"/>
  <c r="W24" i="43" s="1"/>
  <c r="BE24" i="43"/>
  <c r="DR24" i="43"/>
  <c r="DJ24" i="43"/>
  <c r="C50" i="38" l="1"/>
  <c r="DS24" i="43"/>
  <c r="BB24" i="43" s="1"/>
  <c r="DE25" i="43"/>
  <c r="CB25" i="43" l="1"/>
  <c r="DU25" i="43"/>
  <c r="DV25" i="43" s="1"/>
  <c r="DY25" i="43" s="1"/>
  <c r="EA25" i="43" s="1"/>
  <c r="CZ25" i="43"/>
  <c r="DA25" i="43" s="1"/>
  <c r="DC25" i="43" s="1"/>
  <c r="DF25" i="43"/>
  <c r="DG25" i="43" s="1"/>
  <c r="DH25" i="43" l="1"/>
  <c r="EF25" i="43"/>
  <c r="EG25" i="43" s="1"/>
  <c r="DM25" i="43" s="1"/>
  <c r="DN25" i="43" s="1"/>
  <c r="DW25" i="43"/>
  <c r="CH25" i="43"/>
  <c r="CR25" i="43" s="1"/>
  <c r="CS25" i="43" s="1"/>
  <c r="BD25" i="43" l="1"/>
  <c r="BF25" i="43"/>
  <c r="X24" i="43" s="1"/>
  <c r="BC25" i="43"/>
  <c r="X23" i="43" s="1"/>
  <c r="BA25" i="43"/>
  <c r="X22" i="43" s="1"/>
  <c r="CT25" i="43"/>
  <c r="BE25" i="43" s="1"/>
  <c r="EI25" i="43"/>
  <c r="FE54" i="43" s="1"/>
  <c r="DI25" i="43"/>
  <c r="C51" i="38" l="1"/>
  <c r="BV25" i="43"/>
  <c r="DX27" i="43"/>
  <c r="FF54" i="43"/>
  <c r="FG54" i="43" s="1"/>
  <c r="FE58" i="43"/>
  <c r="FE59" i="43" s="1"/>
  <c r="EK26" i="43" s="1"/>
  <c r="DK25" i="43"/>
  <c r="DO25" i="43" s="1"/>
  <c r="DQ25" i="43" s="1"/>
  <c r="CU25" i="43"/>
  <c r="DR25" i="43" l="1"/>
  <c r="DJ25" i="43"/>
  <c r="DS25" i="43" l="1"/>
  <c r="BB25" i="43" s="1"/>
  <c r="DE26" i="43"/>
  <c r="DU26" i="43" l="1"/>
  <c r="DV26" i="43" s="1"/>
  <c r="DY26" i="43" s="1"/>
  <c r="EA26" i="43" s="1"/>
  <c r="CB26" i="43"/>
  <c r="DF26" i="43"/>
  <c r="DG26" i="43" s="1"/>
  <c r="CZ26" i="43"/>
  <c r="DA26" i="43" s="1"/>
  <c r="DC26" i="43" s="1"/>
  <c r="CH26" i="43" l="1"/>
  <c r="CR26" i="43" s="1"/>
  <c r="CS26" i="43" s="1"/>
  <c r="DH26" i="43"/>
  <c r="DW26" i="43"/>
  <c r="EF26" i="43"/>
  <c r="EG26" i="43" s="1"/>
  <c r="DM26" i="43" s="1"/>
  <c r="DN26" i="43" s="1"/>
  <c r="BF26" i="43" l="1"/>
  <c r="Y24" i="43" s="1"/>
  <c r="BC26" i="43"/>
  <c r="Y23" i="43" s="1"/>
  <c r="BD26" i="43"/>
  <c r="BA26" i="43"/>
  <c r="Y22" i="43" s="1"/>
  <c r="CT26" i="43"/>
  <c r="BE26" i="43" s="1"/>
  <c r="EI26" i="43"/>
  <c r="FF55" i="43" s="1"/>
  <c r="DI26" i="43"/>
  <c r="BV26" i="43" l="1"/>
  <c r="DX28" i="43"/>
  <c r="C52" i="38"/>
  <c r="DK26" i="43"/>
  <c r="DO26" i="43" s="1"/>
  <c r="DQ26" i="43" s="1"/>
  <c r="FG55" i="43"/>
  <c r="FF58" i="43"/>
  <c r="FF59" i="43" s="1"/>
  <c r="CU26" i="43"/>
  <c r="EK27" i="43" l="1"/>
  <c r="EK28" i="43"/>
  <c r="DR26" i="43"/>
  <c r="DJ26" i="43"/>
  <c r="DS26" i="43" l="1"/>
  <c r="BB26" i="43" s="1"/>
  <c r="DE27" i="43"/>
  <c r="CZ27" i="43" l="1"/>
  <c r="DA27" i="43" s="1"/>
  <c r="DC27" i="43" s="1"/>
  <c r="DF27" i="43"/>
  <c r="DG27" i="43" s="1"/>
  <c r="DU27" i="43"/>
  <c r="DV27" i="43" s="1"/>
  <c r="DY27" i="43" s="1"/>
  <c r="EA27" i="43" s="1"/>
  <c r="CB27" i="43"/>
  <c r="DH27" i="43" l="1"/>
  <c r="EI27" i="43" s="1"/>
  <c r="FG56" i="43" s="1"/>
  <c r="FG58" i="43" s="1"/>
  <c r="FG59" i="43" s="1"/>
  <c r="CH27" i="43"/>
  <c r="CR27" i="43" s="1"/>
  <c r="CS27" i="43" s="1"/>
  <c r="DW27" i="43"/>
  <c r="EF27" i="43"/>
  <c r="EG27" i="43" s="1"/>
  <c r="DM27" i="43" s="1"/>
  <c r="DN27" i="43" s="1"/>
  <c r="BD27" i="43" l="1"/>
  <c r="BA27" i="43"/>
  <c r="Z22" i="43" s="1"/>
  <c r="BC27" i="43"/>
  <c r="Z23" i="43" s="1"/>
  <c r="BF27" i="43"/>
  <c r="Z24" i="43" s="1"/>
  <c r="DI27" i="43"/>
  <c r="DK27" i="43" s="1"/>
  <c r="DO27" i="43" s="1"/>
  <c r="DQ27" i="43" s="1"/>
  <c r="CT27" i="43"/>
  <c r="BV27" i="43" s="1"/>
  <c r="BE27" i="43" l="1"/>
  <c r="C53" i="38"/>
  <c r="DJ27" i="43"/>
  <c r="DR27" i="43"/>
  <c r="CU27" i="43"/>
  <c r="DS27" i="43" l="1"/>
  <c r="BB27" i="43" s="1"/>
  <c r="DE28" i="43"/>
  <c r="BA28" i="43" s="1"/>
  <c r="AA22" i="43" s="1"/>
  <c r="C54" i="38" l="1"/>
  <c r="BA29" i="43"/>
  <c r="DF28" i="43"/>
  <c r="DG28" i="43" s="1"/>
  <c r="CB28" i="43"/>
  <c r="CZ28" i="43"/>
  <c r="DA28" i="43" s="1"/>
  <c r="DC28" i="43" s="1"/>
  <c r="DU28" i="43"/>
  <c r="DV28" i="43" s="1"/>
  <c r="DY28" i="43" s="1"/>
  <c r="EA28" i="43" s="1"/>
  <c r="BC28" i="43" l="1"/>
  <c r="AA23" i="43" s="1"/>
  <c r="BF28" i="43"/>
  <c r="AA24" i="43" s="1"/>
  <c r="CH28" i="43"/>
  <c r="CR28" i="43" s="1"/>
  <c r="CS28" i="43" s="1"/>
  <c r="DW28" i="43"/>
  <c r="BD28" i="43" s="1"/>
  <c r="EF28" i="43"/>
  <c r="EG28" i="43" s="1"/>
  <c r="DM28" i="43" s="1"/>
  <c r="DH28" i="43"/>
  <c r="BC29" i="43" l="1"/>
  <c r="CT28" i="43"/>
  <c r="BE28" i="43" s="1"/>
  <c r="DN28" i="43"/>
  <c r="DM29" i="43"/>
  <c r="DN29" i="43" s="1"/>
  <c r="EI28" i="43"/>
  <c r="DI28" i="43"/>
  <c r="DK28" i="43" l="1"/>
  <c r="DO28" i="43" s="1"/>
  <c r="BV28" i="43"/>
  <c r="CT29" i="43"/>
  <c r="CU28" i="43"/>
  <c r="DR28" i="43" l="1"/>
  <c r="DS28" i="43" s="1"/>
  <c r="BB28" i="43" s="1"/>
  <c r="DJ28" i="43"/>
</calcChain>
</file>

<file path=xl/comments1.xml><?xml version="1.0" encoding="utf-8"?>
<comments xmlns="http://schemas.openxmlformats.org/spreadsheetml/2006/main">
  <authors>
    <author>Randy Oliver</author>
  </authors>
  <commentList>
    <comment ref="BE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Q2" authorId="0">
      <text>
        <r>
          <rPr>
            <b/>
            <sz val="9"/>
            <color indexed="81"/>
            <rFont val="Tahoma"/>
            <family val="2"/>
          </rPr>
          <t>Randy Oliver:</t>
        </r>
        <r>
          <rPr>
            <sz val="9"/>
            <color indexed="81"/>
            <rFont val="Tahoma"/>
            <family val="2"/>
          </rPr>
          <t xml:space="preserve">
# of frames x AK44</t>
        </r>
      </text>
    </comment>
    <comment ref="BS2" authorId="0">
      <text>
        <r>
          <rPr>
            <b/>
            <sz val="9"/>
            <color indexed="81"/>
            <rFont val="Tahoma"/>
            <family val="2"/>
          </rPr>
          <t>Randy Oliver:</t>
        </r>
        <r>
          <rPr>
            <sz val="9"/>
            <color indexed="81"/>
            <rFont val="Tahoma"/>
            <family val="2"/>
          </rPr>
          <t xml:space="preserve">
# of frames x AK43
</t>
        </r>
      </text>
    </comment>
    <comment ref="BV2" authorId="0">
      <text>
        <r>
          <rPr>
            <b/>
            <sz val="9"/>
            <color indexed="81"/>
            <rFont val="Tahoma"/>
            <family val="2"/>
          </rPr>
          <t>Randy Oliver:</t>
        </r>
        <r>
          <rPr>
            <sz val="9"/>
            <color indexed="81"/>
            <rFont val="Tahoma"/>
            <family val="2"/>
          </rPr>
          <t xml:space="preserve">
BN6*AP6</t>
        </r>
      </text>
    </comment>
    <comment ref="BX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Y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C2" authorId="0">
      <text>
        <r>
          <rPr>
            <b/>
            <sz val="9"/>
            <color indexed="81"/>
            <rFont val="Tahoma"/>
            <family val="2"/>
          </rPr>
          <t>Randy Oliver:</t>
        </r>
        <r>
          <rPr>
            <sz val="9"/>
            <color indexed="81"/>
            <rFont val="Tahoma"/>
            <family val="2"/>
          </rPr>
          <t xml:space="preserve">
Assume 12 days sealed; 20 day total.</t>
        </r>
      </text>
    </comment>
    <comment ref="CE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J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K2" authorId="0">
      <text>
        <r>
          <rPr>
            <b/>
            <sz val="9"/>
            <color indexed="81"/>
            <rFont val="Tahoma"/>
            <family val="2"/>
          </rPr>
          <t>Randy Oliver:</t>
        </r>
        <r>
          <rPr>
            <sz val="9"/>
            <color indexed="81"/>
            <rFont val="Tahoma"/>
            <family val="2"/>
          </rPr>
          <t xml:space="preserve">
See comment for column BS.</t>
        </r>
      </text>
    </comment>
    <comment ref="CL2" authorId="0">
      <text>
        <r>
          <rPr>
            <b/>
            <sz val="9"/>
            <color indexed="81"/>
            <rFont val="Tahoma"/>
            <family val="2"/>
          </rPr>
          <t>Randy Oliver:</t>
        </r>
        <r>
          <rPr>
            <sz val="9"/>
            <color indexed="81"/>
            <rFont val="Tahoma"/>
            <family val="2"/>
          </rPr>
          <t xml:space="preserve">
Assumes 15 days in brood</t>
        </r>
      </text>
    </comment>
    <comment ref="CM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T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U2" authorId="0">
      <text>
        <r>
          <rPr>
            <b/>
            <sz val="9"/>
            <color indexed="81"/>
            <rFont val="Tahoma"/>
            <family val="2"/>
          </rPr>
          <t>Randy Oliver:</t>
        </r>
        <r>
          <rPr>
            <sz val="9"/>
            <color indexed="81"/>
            <rFont val="Tahoma"/>
            <family val="2"/>
          </rPr>
          <t xml:space="preserve">
See comment for column BS.</t>
        </r>
      </text>
    </comment>
    <comment ref="CX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A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B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C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F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G2" authorId="0">
      <text>
        <r>
          <rPr>
            <b/>
            <sz val="9"/>
            <color indexed="81"/>
            <rFont val="Tahoma"/>
            <family val="2"/>
          </rPr>
          <t>Randy Oliver:</t>
        </r>
        <r>
          <rPr>
            <sz val="9"/>
            <color indexed="81"/>
            <rFont val="Tahoma"/>
            <family val="2"/>
          </rPr>
          <t xml:space="preserve">
See comment at calculation to right</t>
        </r>
      </text>
    </comment>
    <comment ref="DH2" authorId="0">
      <text>
        <r>
          <rPr>
            <b/>
            <sz val="9"/>
            <color indexed="81"/>
            <rFont val="Tahoma"/>
            <family val="2"/>
          </rPr>
          <t>Randy Oliver:</t>
        </r>
        <r>
          <rPr>
            <sz val="9"/>
            <color indexed="81"/>
            <rFont val="Tahoma"/>
            <family val="2"/>
          </rPr>
          <t xml:space="preserve">
Based upon number of potentially fertile mites * potential daily r</t>
        </r>
      </text>
    </comment>
    <comment ref="DK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L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M2" authorId="0">
      <text>
        <r>
          <rPr>
            <b/>
            <sz val="9"/>
            <color indexed="81"/>
            <rFont val="Tahoma"/>
            <family val="2"/>
          </rPr>
          <t>Randy Oliver:</t>
        </r>
        <r>
          <rPr>
            <sz val="9"/>
            <color indexed="81"/>
            <rFont val="Tahoma"/>
            <family val="2"/>
          </rPr>
          <t xml:space="preserve">
See "Calculation for mite drift from hive"</t>
        </r>
      </text>
    </comment>
    <comment ref="DQ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X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B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F2" authorId="0">
      <text>
        <r>
          <rPr>
            <b/>
            <sz val="9"/>
            <color indexed="81"/>
            <rFont val="Tahoma"/>
            <family val="2"/>
          </rPr>
          <t>Randy Oliver:</t>
        </r>
        <r>
          <rPr>
            <sz val="9"/>
            <color indexed="81"/>
            <rFont val="Tahoma"/>
            <family val="2"/>
          </rPr>
          <t xml:space="preserve">
See Cervo 2014</t>
        </r>
      </text>
    </comment>
    <comment ref="EG2" authorId="0">
      <text>
        <r>
          <rPr>
            <b/>
            <sz val="9"/>
            <color indexed="81"/>
            <rFont val="Tahoma"/>
            <family val="2"/>
          </rPr>
          <t>Randy Oliver:</t>
        </r>
        <r>
          <rPr>
            <sz val="9"/>
            <color indexed="81"/>
            <rFont val="Tahoma"/>
            <family val="2"/>
          </rPr>
          <t xml:space="preserve">
Kralj 2006 From 9-30% of exiting infested bees do not return.</t>
        </r>
      </text>
    </comment>
    <comment ref="EJ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K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B3" authorId="0">
      <text>
        <r>
          <rPr>
            <b/>
            <sz val="9"/>
            <color indexed="81"/>
            <rFont val="Tahoma"/>
            <family val="2"/>
          </rPr>
          <t>Randy Oliver:</t>
        </r>
        <r>
          <rPr>
            <sz val="9"/>
            <color indexed="81"/>
            <rFont val="Tahoma"/>
            <family val="2"/>
          </rPr>
          <t xml:space="preserve">
See comment at calculation</t>
        </r>
      </text>
    </comment>
    <comment ref="BH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T36" authorId="0">
      <text>
        <r>
          <rPr>
            <b/>
            <sz val="9"/>
            <color indexed="81"/>
            <rFont val="Tahoma"/>
            <family val="2"/>
          </rPr>
          <t>Randy Oliver:</t>
        </r>
        <r>
          <rPr>
            <sz val="9"/>
            <color indexed="81"/>
            <rFont val="Tahoma"/>
            <family val="2"/>
          </rPr>
          <t xml:space="preserve">
365/24 intervals</t>
        </r>
      </text>
    </comment>
    <comment ref="BD38" authorId="0">
      <text>
        <r>
          <rPr>
            <b/>
            <sz val="9"/>
            <color indexed="81"/>
            <rFont val="Tahoma"/>
            <family val="2"/>
          </rPr>
          <t>Randy Oliver:</t>
        </r>
        <r>
          <rPr>
            <sz val="9"/>
            <color indexed="81"/>
            <rFont val="Tahoma"/>
            <family val="2"/>
          </rPr>
          <t xml:space="preserve">
Advanced users can input custom values for sensitivity analyses.</t>
        </r>
      </text>
    </comment>
    <comment ref="AY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Q43"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D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A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Y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F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E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C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comments2.xml><?xml version="1.0" encoding="utf-8"?>
<comments xmlns="http://schemas.openxmlformats.org/spreadsheetml/2006/main">
  <authors>
    <author>Randy Oliver</author>
  </authors>
  <commentList>
    <comment ref="N25" authorId="0">
      <text>
        <r>
          <rPr>
            <b/>
            <sz val="9"/>
            <color indexed="81"/>
            <rFont val="Tahoma"/>
            <family val="2"/>
          </rPr>
          <t>Randy Oliver:</t>
        </r>
        <r>
          <rPr>
            <sz val="9"/>
            <color indexed="81"/>
            <rFont val="Tahoma"/>
            <family val="2"/>
          </rPr>
          <t xml:space="preserve">
Allen (1965) The Effect of a Plentiful Supply of Drone Comb on Colonies of Honeybees, Journal of Apicultural Research 4(2): 109-119</t>
        </r>
      </text>
    </comment>
  </commentList>
</comments>
</file>

<file path=xl/sharedStrings.xml><?xml version="1.0" encoding="utf-8"?>
<sst xmlns="http://schemas.openxmlformats.org/spreadsheetml/2006/main" count="541" uniqueCount="369">
  <si>
    <t>DATE</t>
  </si>
  <si>
    <t>Two 50-g Apiguard treatments at 10 days, in a rim</t>
  </si>
  <si>
    <t>D</t>
  </si>
  <si>
    <t>80-95</t>
  </si>
  <si>
    <t>Oxalic dribble or vapor, when broodless</t>
  </si>
  <si>
    <t>15-20</t>
  </si>
  <si>
    <t>Constant for cell invasion rate equation; a lower value increases the mite r.</t>
  </si>
  <si>
    <t>Calculated adult bees</t>
  </si>
  <si>
    <t>Brood: bee ratio</t>
  </si>
  <si>
    <t>Calculated cells of brood*</t>
  </si>
  <si>
    <t>8-day larvae</t>
  </si>
  <si>
    <t>Number mites phoretic</t>
  </si>
  <si>
    <t>Inf rate on adults</t>
  </si>
  <si>
    <t>Cells of worker brood for a frame 65% covered with brood</t>
  </si>
  <si>
    <t>Adult bees per covered frame (total, both sides), approx. 1/2 lb</t>
  </si>
  <si>
    <t>Calculations of r</t>
  </si>
  <si>
    <t>r(cycle) =</t>
  </si>
  <si>
    <t>r(day)</t>
  </si>
  <si>
    <t>Worker</t>
  </si>
  <si>
    <t>Drone</t>
  </si>
  <si>
    <t xml:space="preserve">Assume </t>
  </si>
  <si>
    <t>daughters</t>
  </si>
  <si>
    <t>survival of emerging foundress</t>
  </si>
  <si>
    <t xml:space="preserve">Assume  </t>
  </si>
  <si>
    <t>reproductive success</t>
  </si>
  <si>
    <t>reproductive success (Martin)</t>
  </si>
  <si>
    <t>r(cycle)=</t>
  </si>
  <si>
    <t>theor max r(day)=</t>
  </si>
  <si>
    <t>per day</t>
  </si>
  <si>
    <t>survorship</t>
  </si>
  <si>
    <t>Martin's value 0.5%/day</t>
  </si>
  <si>
    <t xml:space="preserve"> = r(phoretic mort)</t>
  </si>
  <si>
    <t>percent 100-day survivorship</t>
  </si>
  <si>
    <t>Compare to some r values from the literature</t>
  </si>
  <si>
    <t>Days phoretic</t>
  </si>
  <si>
    <t>Source</t>
  </si>
  <si>
    <t>Danka 1999  16 day</t>
  </si>
  <si>
    <t xml:space="preserve">To double the mite pop each month </t>
  </si>
  <si>
    <t>Date</t>
  </si>
  <si>
    <t>Observed number of frames containing brood (assume mean 65% cover)</t>
  </si>
  <si>
    <t>% of brood that is drone (10% max, occurring only during intense pollen flow)</t>
  </si>
  <si>
    <t>S</t>
  </si>
  <si>
    <t>Calc'd number of adult bees</t>
  </si>
  <si>
    <t>Calc'd number of cells of brood</t>
  </si>
  <si>
    <t>Immigration setting</t>
  </si>
  <si>
    <t>Insert "1" if period too cold for foraging (little broodrearing)</t>
  </si>
  <si>
    <t>Insert "1" if period has a strong pollen/ nectar flow (heavy broodrearing and drone production)</t>
  </si>
  <si>
    <t>INSTRUCTIONS FOR CUSTOMIZATION OF COLONY FOR LOCAL CONDITIONS, MANAGEMENT, SWARMING, ETC.</t>
  </si>
  <si>
    <t>You have the option to customize your colony.  You may change the value in any</t>
  </si>
  <si>
    <t>yellow cell</t>
  </si>
  <si>
    <t>below.</t>
  </si>
  <si>
    <t>Go to the appropriate customization table in Column B.  Your choices are:</t>
  </si>
  <si>
    <t>N</t>
  </si>
  <si>
    <t>P</t>
  </si>
  <si>
    <t>A</t>
  </si>
  <si>
    <t>B</t>
  </si>
  <si>
    <t>C</t>
  </si>
  <si>
    <t>R</t>
  </si>
  <si>
    <t>F</t>
  </si>
  <si>
    <t>Default curve (not customizable) for reference.</t>
  </si>
  <si>
    <r>
      <t>Starting with a 3-lb package (typical starting mite counts range from 12</t>
    </r>
    <r>
      <rPr>
        <sz val="10"/>
        <rFont val="Calibri"/>
        <family val="2"/>
      </rPr>
      <t>–</t>
    </r>
    <r>
      <rPr>
        <sz val="10"/>
        <rFont val="Arial"/>
        <family val="2"/>
      </rPr>
      <t>600 mites; enter that value on the Home Page)</t>
    </r>
  </si>
  <si>
    <t>Yours to customize.</t>
  </si>
  <si>
    <t>Starting with a nuc (typically 4-5 frames of bees, 1-3 frames of brood)</t>
  </si>
  <si>
    <t>Randy's almond bees, split 4 ways in late March.</t>
  </si>
  <si>
    <t>California almond pollinator, managed for 8-frame strength going into bloom, 5 lbs of bees shaken twice in April.</t>
  </si>
  <si>
    <t>Colony that swarms in April.</t>
  </si>
  <si>
    <t>Feral colony in 40-liter cavity, swarming twice (after Loftus 2016 doi:10.1371/
journal.pone.0150362).</t>
  </si>
  <si>
    <t>First, insert values for cold temperature (Col. C), a strong pollen flow, or high temperature.  These environmental conditions will show</t>
  </si>
  <si>
    <t xml:space="preserve">on the graph to the right, and help you to plot the adult bee, brood, and drone brood values (colonies generally only grow during pollen flows).  </t>
  </si>
  <si>
    <t>By watching the growth curves in the graph, you can then smooth out your entered values.</t>
  </si>
  <si>
    <t>The number of frames fully-covered with adult bees comes from personal observation, as does the number of frames of brood.</t>
  </si>
  <si>
    <t>Be aware that most beekeepers will overestimate the strength of their hives--few colonies grow to over 25 frames of adults (22.5 frames is more reasonable).</t>
  </si>
  <si>
    <t xml:space="preserve">/day, times 20 days for development, can produce a maximum of </t>
  </si>
  <si>
    <t>*A spectacular queen may lay 2000 eggs/day (2500 for short bursts); a poorer queen 1000.</t>
  </si>
  <si>
    <t>Ditto for amount of brood.  A good queen* laying eggs at the rate of:</t>
  </si>
  <si>
    <t>a maximum population of around</t>
  </si>
  <si>
    <t>bees, which equals roughly</t>
  </si>
  <si>
    <t>frames of bees (this would be an exceptionally large colony, typically occurring only in the upper Midwest or Canada).</t>
  </si>
  <si>
    <t>Important note: if your custom colony swarms or is split, you need to enter the degree of mite reduction at that time as a Treatment (on the Home page).</t>
  </si>
  <si>
    <t>Suggestions: hold the pointer over any data point on a curve, and it will tell you which cell value it refers to.  You can then change that cell value to smooth your curve.</t>
  </si>
  <si>
    <t>(suggest 1500)</t>
  </si>
  <si>
    <t>Note: a crowded hive (such as prior to swarming) may contain more than 2000 bees/frame--up to 2500, so a double deep may contain more than 20 frame's worth of bees.</t>
  </si>
  <si>
    <r>
      <t>Once a colony reaches 6 frames of brood (8-10 frames covered with bees), it grows linearly at the rate of approx.</t>
    </r>
    <r>
      <rPr>
        <b/>
        <sz val="10"/>
        <rFont val="Arial"/>
        <family val="2"/>
      </rPr>
      <t xml:space="preserve"> 4-8 frames of adult bees/period</t>
    </r>
    <r>
      <rPr>
        <sz val="10"/>
        <rFont val="Arial"/>
        <family val="2"/>
      </rPr>
      <t xml:space="preserve"> (see calcs on the Colony Growth Rate tab) until it reaches its top out population of roughly 35x the number of eggs laid per day after roughly 10-11 weeks, thus</t>
    </r>
  </si>
  <si>
    <t>d</t>
  </si>
  <si>
    <t>Check: Calc'd egglaying rate per day (over 1500 suggests overestimation of brood frames)</t>
  </si>
  <si>
    <t>Check: Est. increase per day once 4 frames of brood is 400-500 for 5 periods, then top out</t>
  </si>
  <si>
    <t>Observed number of frames covered with bees.  Steady during winter, drops during spring turnover, then increases by roughly 4 frames per period until typ. 22-33 (max)</t>
  </si>
  <si>
    <t>% drone brood x 10 (for plotting purposes)</t>
  </si>
  <si>
    <t>r</t>
  </si>
  <si>
    <t>Traynor % * 315</t>
  </si>
  <si>
    <t>All values are means for each 15-day period</t>
  </si>
  <si>
    <t>Calc'd total number of pupae</t>
  </si>
  <si>
    <t>Entered frames covered with adult bees</t>
  </si>
  <si>
    <t>Entered frames of brood</t>
  </si>
  <si>
    <t>% mites in brood</t>
  </si>
  <si>
    <t xml:space="preserve">% mites phoretic </t>
  </si>
  <si>
    <t>Cells sealed worker brood</t>
  </si>
  <si>
    <t>Cells of sealed brood</t>
  </si>
  <si>
    <t>Mean mite repro cycle (in worker brood)</t>
  </si>
  <si>
    <t>Number of mites in brood</t>
  </si>
  <si>
    <t>Mites in drone brood</t>
  </si>
  <si>
    <t>Mites in worker brood</t>
  </si>
  <si>
    <t>Est  % repro mites in worker brood</t>
  </si>
  <si>
    <t>Mean days in mite repro cycle in drone brood</t>
  </si>
  <si>
    <t>Mean days in mite repro cycle in worker brood</t>
  </si>
  <si>
    <t>R(cycle)=</t>
  </si>
  <si>
    <t>17-day cycle</t>
  </si>
  <si>
    <t>Assume</t>
  </si>
  <si>
    <t>Colony tab inputs &amp; conversions</t>
  </si>
  <si>
    <t>Calculated values</t>
  </si>
  <si>
    <t>Drone brood calcs</t>
  </si>
  <si>
    <t>Worker brood calcs</t>
  </si>
  <si>
    <t>Don't move</t>
  </si>
  <si>
    <t>Selected mite immigration</t>
  </si>
  <si>
    <t>Alcohol wash of 1/2 cup of young bees</t>
  </si>
  <si>
    <t>Mean mites per sealed drone cell</t>
  </si>
  <si>
    <t>Mean mites per sealed worker cell</t>
  </si>
  <si>
    <t>(1 foundress+(expected no. of daughters * repro success))*chance of each reinvading. The result is lower than Martin's, but results in a realistic r of 0.024 for a 17-day cycle</t>
  </si>
  <si>
    <t xml:space="preserve">Drone cell mean number of daughters/cycle </t>
  </si>
  <si>
    <t>r per day of mites in drone cells</t>
  </si>
  <si>
    <t>R per cycle</t>
  </si>
  <si>
    <t>r per day for mites in worker cells</t>
  </si>
  <si>
    <t>% of all mites in worker brood</t>
  </si>
  <si>
    <t xml:space="preserve">r(17 day) </t>
  </si>
  <si>
    <t>Calc'd r(day) in cell.  Do not modify this cell.</t>
  </si>
  <si>
    <t>Approx number of bee adults emerging per period</t>
  </si>
  <si>
    <t>Change in adult bee population per period</t>
  </si>
  <si>
    <t>Number of mites lost to treatment</t>
  </si>
  <si>
    <t>Calc'd r per cycle</t>
  </si>
  <si>
    <t>Calc'd R per cycle</t>
  </si>
  <si>
    <t>Worker cell mean number of daughters/cycle (typ 1.25-1.45 in various studies)</t>
  </si>
  <si>
    <t>Vandame Mexico EHB</t>
  </si>
  <si>
    <t>Infestation rate of outgoing bees relative to all adults.  Guesstimate supported by Kraus 1993, Cervo 2014, DeGrandi-Hoffman 2015.  My own tests (2) suggest 0.5-1).</t>
  </si>
  <si>
    <t>Number (-) of mites carried out on non returning bees</t>
  </si>
  <si>
    <t>Start Date of Period</t>
  </si>
  <si>
    <t>Density adj for no. of daughters</t>
  </si>
  <si>
    <t>Percent drone cells invaded</t>
  </si>
  <si>
    <t>Percent worker cells invaded</t>
  </si>
  <si>
    <t>Mean mites per invaded worker cell</t>
  </si>
  <si>
    <t>Mean mites per invaded drone cell</t>
  </si>
  <si>
    <t>Estimated % of mites phoretic (for treatment efficacy calcs)</t>
  </si>
  <si>
    <t>Max</t>
  </si>
  <si>
    <t>Estimated % of worker cells invaded (typ. collapse if &gt;30%)</t>
  </si>
  <si>
    <t>Approx days phoretic (after Boot)</t>
  </si>
  <si>
    <t>Complete removal of drone brood, if done early in the season, each removal</t>
  </si>
  <si>
    <t>Cal'd  worker pupae parasitized</t>
  </si>
  <si>
    <t>r values</t>
  </si>
  <si>
    <t xml:space="preserve"> Refer to the table below to see how long it takes for the mite population to double at decreasing r values.</t>
  </si>
  <si>
    <t>Days to double the mite pop</t>
  </si>
  <si>
    <t>Mite pop</t>
  </si>
  <si>
    <t>Mite gain</t>
  </si>
  <si>
    <t>Mite Loss</t>
  </si>
  <si>
    <r>
      <rPr>
        <b/>
        <sz val="10"/>
        <rFont val="Arial"/>
        <family val="2"/>
      </rPr>
      <t>TREATMENT EFFICACIES</t>
    </r>
    <r>
      <rPr>
        <sz val="10"/>
        <rFont val="Arial"/>
        <family val="2"/>
      </rPr>
      <t xml:space="preserve"> (approximate overall percentage reduction).  Note: once the percent of infested brood approaches 30%, even with a very effective treatment, it may take a long time for a colony to recover from the in-hive DWV epidemic, largely dependent upon the amount of broodrearing (thus a poorer chance of recovery late in the season).</t>
    </r>
  </si>
  <si>
    <r>
      <t xml:space="preserve">The daily rate of mite </t>
    </r>
    <r>
      <rPr>
        <b/>
        <i/>
        <sz val="10"/>
        <rFont val="Arial"/>
        <family val="2"/>
      </rPr>
      <t>increase</t>
    </r>
    <r>
      <rPr>
        <sz val="10"/>
        <rFont val="Arial"/>
        <family val="2"/>
      </rPr>
      <t xml:space="preserve"> during the colony's linear buildup phase, for non-resistant commercial stock, is typically in the 0.015-0.023 range (but can reach 0.030 with immigration).</t>
    </r>
  </si>
  <si>
    <t>Varroa pop at start of period</t>
  </si>
  <si>
    <t>% multiplier for mites on exiting bees</t>
  </si>
  <si>
    <t>The issuance of a spring prime swarm</t>
  </si>
  <si>
    <t xml:space="preserve">It's all about the "r value"--average daily r for 15 Apr–15 Sep in this simulation equals </t>
  </si>
  <si>
    <r>
      <t xml:space="preserve">Important note: </t>
    </r>
    <r>
      <rPr>
        <sz val="10"/>
        <rFont val="Arial"/>
        <family val="2"/>
      </rPr>
      <t>the mite r value is density dependent--the more mites, the slower their growth.  Make sure that you check your r value with a low starting mite level.</t>
    </r>
  </si>
  <si>
    <t>Calc'd percent reduction due to swarm of 70%</t>
  </si>
  <si>
    <t>P: Package bee colony (3 lb), installed on drawn comb and fed well</t>
  </si>
  <si>
    <t>B: High latitude colony--short summer, long winter brood break</t>
  </si>
  <si>
    <t xml:space="preserve">F: Feral hive restricted to a 40-liter cavity (1 Langstroth deep), swarming twice </t>
  </si>
  <si>
    <t>C: California 8-frame almond colony shaken twice in April.   Enter a 25% "treatment" in April to account for mites lost on shook bees</t>
  </si>
  <si>
    <t>Months with brood</t>
  </si>
  <si>
    <t>daily mite mort</t>
  </si>
  <si>
    <t>mite decrease r(day)</t>
  </si>
  <si>
    <t>mite increase r(day)</t>
  </si>
  <si>
    <t>r value</t>
  </si>
  <si>
    <t>% reduction by treatment</t>
  </si>
  <si>
    <t>Month</t>
  </si>
  <si>
    <t>Defaults</t>
  </si>
  <si>
    <r>
      <rPr>
        <sz val="10"/>
        <rFont val="Wingdings"/>
        <charset val="2"/>
      </rPr>
      <t>é</t>
    </r>
    <r>
      <rPr>
        <sz val="10"/>
        <rFont val="Arial"/>
        <family val="2"/>
      </rPr>
      <t xml:space="preserve"> </t>
    </r>
    <r>
      <rPr>
        <b/>
        <sz val="10"/>
        <rFont val="Arial"/>
        <family val="2"/>
      </rPr>
      <t xml:space="preserve">       Enter % reduction due to treatment above</t>
    </r>
  </si>
  <si>
    <r>
      <rPr>
        <sz val="10"/>
        <rFont val="Wingdings"/>
        <charset val="2"/>
      </rPr>
      <t>é</t>
    </r>
    <r>
      <rPr>
        <sz val="10"/>
        <rFont val="Arial"/>
        <family val="2"/>
      </rPr>
      <t xml:space="preserve">        </t>
    </r>
    <r>
      <rPr>
        <b/>
        <sz val="10"/>
        <rFont val="Arial"/>
        <family val="2"/>
      </rPr>
      <t>Enter months with brood above</t>
    </r>
  </si>
  <si>
    <t>Not necessary to adjust these cells, but you can do it to see the effect of resistance traits upon mite success at reproduction, or increased grooming behavior.</t>
  </si>
  <si>
    <t>Daily r for broodless phoretic mortality. Do not modify this cell.  See Calatayub 1995</t>
  </si>
  <si>
    <t>New mites</t>
  </si>
  <si>
    <t>Mites more than 75 days old</t>
  </si>
  <si>
    <t>% of total mite pop &gt;75 days old</t>
  </si>
  <si>
    <t>Adjustment of r due to aging mites</t>
  </si>
  <si>
    <t>Kill</t>
  </si>
  <si>
    <t>Old mites</t>
  </si>
  <si>
    <t>Total mites</t>
  </si>
  <si>
    <t>% old</t>
  </si>
  <si>
    <t>Start Date</t>
  </si>
  <si>
    <t>Blue-shaded cells are mites &gt; 75 days old</t>
  </si>
  <si>
    <t>Amt brood</t>
  </si>
  <si>
    <t>Typical survival of pupa to adult</t>
  </si>
  <si>
    <t>Overall fold increase in mite pop</t>
  </si>
  <si>
    <r>
      <rPr>
        <sz val="10"/>
        <rFont val="Wingdings"/>
        <charset val="2"/>
      </rPr>
      <t>é</t>
    </r>
    <r>
      <rPr>
        <sz val="10"/>
        <rFont val="Arial"/>
        <family val="2"/>
      </rPr>
      <t xml:space="preserve"> </t>
    </r>
    <r>
      <rPr>
        <b/>
        <sz val="10"/>
        <rFont val="Arial"/>
        <family val="2"/>
      </rPr>
      <t xml:space="preserve">                          For sustainability, need to reduce to 1</t>
    </r>
  </si>
  <si>
    <t>See below for adult mite survivorship curve when no broodrearing</t>
  </si>
  <si>
    <t>Mite immi- gration from drift</t>
  </si>
  <si>
    <t>Increase this value to see the effect of increased grooming behavior.</t>
  </si>
  <si>
    <t>Enter value for percent daily mite mortality (0.5% typical) (format for entry 0.005 for 0.5% per day)</t>
  </si>
  <si>
    <r>
      <rPr>
        <b/>
        <sz val="10"/>
        <rFont val="Arial"/>
        <family val="2"/>
      </rPr>
      <t xml:space="preserve"> = net effective reproduction rate</t>
    </r>
    <r>
      <rPr>
        <sz val="10"/>
        <rFont val="Arial"/>
        <family val="2"/>
      </rPr>
      <t xml:space="preserve"> (no. of viable mated daughters per foundress per repro cycle).  Oddie (2017) found a value of 1.24 for commercial stock, and 0.87 for survivor stock.</t>
    </r>
  </si>
  <si>
    <t>}</t>
  </si>
  <si>
    <t xml:space="preserve"> Effect dependent upon amount of drone brood present.</t>
  </si>
  <si>
    <r>
      <t>Drone cell--mean number of daughters/cycle  (</t>
    </r>
    <r>
      <rPr>
        <b/>
        <sz val="10"/>
        <color rgb="FF0070C0"/>
        <rFont val="Arial"/>
        <family val="2"/>
      </rPr>
      <t>typ 2.5</t>
    </r>
    <r>
      <rPr>
        <b/>
        <sz val="10"/>
        <color rgb="FF0070C0"/>
        <rFont val="Calibri"/>
        <family val="2"/>
      </rPr>
      <t>—</t>
    </r>
    <r>
      <rPr>
        <b/>
        <sz val="10"/>
        <color rgb="FF0070C0"/>
        <rFont val="Arial"/>
        <family val="2"/>
      </rPr>
      <t>4.0</t>
    </r>
    <r>
      <rPr>
        <sz val="10"/>
        <rFont val="Arial"/>
        <family val="2"/>
      </rPr>
      <t>)</t>
    </r>
  </si>
  <si>
    <r>
      <t xml:space="preserve">Factor for increased rate of invasion of drone cells (after Boot). </t>
    </r>
    <r>
      <rPr>
        <b/>
        <sz val="10"/>
        <color rgb="FFFF0000"/>
        <rFont val="Arial"/>
        <family val="2"/>
      </rPr>
      <t xml:space="preserve"> This may be an overestimate based upon my dissection of drone trap frames in April.</t>
    </r>
  </si>
  <si>
    <t>Total mites at start of period</t>
  </si>
  <si>
    <r>
      <rPr>
        <b/>
        <i/>
        <sz val="10"/>
        <rFont val="Arial"/>
        <family val="2"/>
      </rPr>
      <t>(ADVANCED ONLY</t>
    </r>
    <r>
      <rPr>
        <b/>
        <sz val="10"/>
        <rFont val="Arial"/>
        <family val="2"/>
      </rPr>
      <t xml:space="preserve">) Mite reproduction and bee resistance variables:  </t>
    </r>
    <r>
      <rPr>
        <sz val="10"/>
        <rFont val="Arial"/>
        <family val="2"/>
      </rPr>
      <t xml:space="preserve">The following variables are critical determinants of varroa's reproductive success, and bee resistance traits.  </t>
    </r>
  </si>
  <si>
    <t>Net mite gain  from reproduction</t>
  </si>
  <si>
    <t>High-latitude colony with 5-month brood break</t>
  </si>
  <si>
    <t>At an r of 0.023, the mite population will double each month--for more info scroll down to:</t>
  </si>
  <si>
    <t>S: Colony swarming in May--enter a 50-60% "treatment" reduction of mites on 15 May</t>
  </si>
  <si>
    <t>Net adult bee mortality per period</t>
  </si>
  <si>
    <t>Mite loss per period on nonreturning exited bees</t>
  </si>
  <si>
    <r>
      <t>It's all about the "r value"--the overall daily r from 15 Apr</t>
    </r>
    <r>
      <rPr>
        <i/>
        <sz val="10"/>
        <color theme="1"/>
        <rFont val="Calibri"/>
        <family val="2"/>
      </rPr>
      <t>–</t>
    </r>
    <r>
      <rPr>
        <i/>
        <sz val="10"/>
        <color theme="1"/>
        <rFont val="Arial"/>
        <family val="2"/>
      </rPr>
      <t>15 Sep in this simulation equals:</t>
    </r>
  </si>
  <si>
    <t>comment</t>
  </si>
  <si>
    <t>Potentially reproductive mites after adj for aging</t>
  </si>
  <si>
    <t>Daily r for  phoretic mortality during broodrearing. Do not modify this cell.  See Andino 2011, Oliver unpub. data</t>
  </si>
  <si>
    <t>Mites remaining after natural mortality</t>
  </si>
  <si>
    <t>Net daily r from reproduction and natural mortality alone</t>
  </si>
  <si>
    <t>Potential daily r from reproduction of varroa in brood (drone &amp; worker)</t>
  </si>
  <si>
    <t>Potential r</t>
  </si>
  <si>
    <t>Mated mites</t>
  </si>
  <si>
    <t>Calculation for mite drift from hive</t>
  </si>
  <si>
    <t>Dates for Northern or Southern hemispheres</t>
  </si>
  <si>
    <t>Total mites after reproduction</t>
  </si>
  <si>
    <t>Mites loss due to natural mortality</t>
  </si>
  <si>
    <t>Negative daily r due to mite mortality</t>
  </si>
  <si>
    <t>Potential reproductive rate</t>
  </si>
  <si>
    <t>Remaining mites at end of period</t>
  </si>
  <si>
    <t>Total mites prior to treatment effect</t>
  </si>
  <si>
    <t xml:space="preserve">Net mite change per period due to in/out drift </t>
  </si>
  <si>
    <r>
      <t>Worker cell-- percent viable, successfully-mated daughters (</t>
    </r>
    <r>
      <rPr>
        <b/>
        <sz val="10"/>
        <color rgb="FF0070C0"/>
        <rFont val="Arial"/>
        <family val="2"/>
      </rPr>
      <t>typ. range .50-.90</t>
    </r>
    <r>
      <rPr>
        <sz val="10"/>
        <rFont val="Arial"/>
        <family val="2"/>
      </rPr>
      <t>)</t>
    </r>
  </si>
  <si>
    <r>
      <t xml:space="preserve">Drone cell--% viable fertile daughters (typ. </t>
    </r>
    <r>
      <rPr>
        <b/>
        <sz val="10"/>
        <color rgb="FF0070C0"/>
        <rFont val="Arial"/>
        <family val="2"/>
      </rPr>
      <t>range .50-.90</t>
    </r>
    <r>
      <rPr>
        <sz val="10"/>
        <rFont val="Arial"/>
        <family val="2"/>
      </rPr>
      <t>)</t>
    </r>
  </si>
  <si>
    <t>Values in green reflect user-chosen inputs</t>
  </si>
  <si>
    <r>
      <t xml:space="preserve">In this row I've placed notes &amp; validation of calculations as comments.  Those highlighted in red call for more investigation </t>
    </r>
    <r>
      <rPr>
        <b/>
        <sz val="10"/>
        <rFont val="Wingdings"/>
        <charset val="2"/>
      </rPr>
      <t>ð</t>
    </r>
  </si>
  <si>
    <r>
      <t>Worker cell--% viable fertile daughters (</t>
    </r>
    <r>
      <rPr>
        <b/>
        <sz val="10"/>
        <color rgb="FF0070C0"/>
        <rFont val="Arial"/>
        <family val="2"/>
      </rPr>
      <t>range .50-.90</t>
    </r>
    <r>
      <rPr>
        <sz val="10"/>
        <rFont val="Arial"/>
        <family val="2"/>
      </rPr>
      <t>)</t>
    </r>
  </si>
  <si>
    <r>
      <t>Drone cell % viable fertile daughters (</t>
    </r>
    <r>
      <rPr>
        <b/>
        <sz val="10"/>
        <color rgb="FF0070C0"/>
        <rFont val="Arial"/>
        <family val="2"/>
      </rPr>
      <t>range .50-.90</t>
    </r>
    <r>
      <rPr>
        <sz val="10"/>
        <rFont val="Arial"/>
        <family val="2"/>
      </rPr>
      <t>)</t>
    </r>
  </si>
  <si>
    <t>R: Randy's California hives, split 4 ways after almonds and oxalic'd (enter a total 90% mite reduction on Apr 1 from splitting 4 ways, oxalic trtmt &amp; drone frame removal)</t>
  </si>
  <si>
    <t>Arbitrary infest rate for crash when broodless</t>
  </si>
  <si>
    <t xml:space="preserve">I have yet to understand why colonies on the northern prairies of North America grow larger than they do in California. </t>
  </si>
  <si>
    <r>
      <t xml:space="preserve">frames 65% covered with brood.  </t>
    </r>
    <r>
      <rPr>
        <b/>
        <i/>
        <sz val="10"/>
        <rFont val="Arial"/>
        <family val="2"/>
      </rPr>
      <t>Be sure to include any brood ramp up due to fall pollen flows.</t>
    </r>
  </si>
  <si>
    <t>D: Default colony in temperate climate, managed to prevent swarming (slight fall brood buildup)</t>
  </si>
  <si>
    <t>Daily mortality during nonreproductive phoretic period</t>
  </si>
  <si>
    <t>Daily mortality during reproductive period</t>
  </si>
  <si>
    <t xml:space="preserve"> -day reproductive cycles totals</t>
  </si>
  <si>
    <t>days</t>
  </si>
  <si>
    <t>percent</t>
  </si>
  <si>
    <t>day survivorship</t>
  </si>
  <si>
    <t>Thus, we'd expect `50% of the mites to be alive after 3 reproductive cycles.</t>
  </si>
  <si>
    <t>Factoring in additional phoretic mortality, a 1% daily mortality figure during the reproductive period works out about right.</t>
  </si>
  <si>
    <t>brood: bee</t>
  </si>
  <si>
    <t>8-day larvae per 8000 bees</t>
  </si>
  <si>
    <t>Approx repro cycle</t>
  </si>
  <si>
    <t>values extracted from Boot's chart</t>
  </si>
  <si>
    <t>Guesstimates</t>
  </si>
  <si>
    <t>Max is about 3</t>
  </si>
  <si>
    <t>Intercept</t>
  </si>
  <si>
    <t>exponent</t>
  </si>
  <si>
    <r>
      <t xml:space="preserve">Constant for cell invasion rate equation, an increase adds a day to the mite phoretic period and decreases the  r value--see </t>
    </r>
    <r>
      <rPr>
        <sz val="14"/>
        <rFont val="Wingdings"/>
        <charset val="2"/>
      </rPr>
      <t>ð</t>
    </r>
  </si>
  <si>
    <t>If you tweak these variables, make sure that the resulting r value remains realistic.</t>
  </si>
  <si>
    <t>DeGuzman 2007 Baton Rouge Italians</t>
  </si>
  <si>
    <t>DeGuzman 2007 Baton Rouge Russians</t>
  </si>
  <si>
    <t>From Martin 1999:" a 30% loss of mites during each reproductive cycle, excluding any phoretic death, results in a mean number of reproductive cycles of : 2.4 for mites reproducing in worker cells. This ﬁgure falls within the range found in other studies (reviewed in Martin and Kemp, 1997)"</t>
  </si>
  <si>
    <t>r per cycle</t>
  </si>
  <si>
    <t>Days/cycle</t>
  </si>
  <si>
    <t>Typical range</t>
  </si>
  <si>
    <t>Vandame 2000 EHB in Mexico</t>
  </si>
  <si>
    <t>Harris, Harbo, Villa,Danka 2003</t>
  </si>
  <si>
    <t>Year</t>
  </si>
  <si>
    <t>Harris, Harbo, Villa,Danka 2004</t>
  </si>
  <si>
    <t>Harris, Harbo, Villa,Danka 2005</t>
  </si>
  <si>
    <t>Harris, Harbo, Villa,Danka 2006</t>
  </si>
  <si>
    <t>Harris, Harbo, Villa,Danka 2007</t>
  </si>
  <si>
    <t>Harris, Harbo, Villa,Danka 2008</t>
  </si>
  <si>
    <t>Harris, Harbo, Villa,Danka 2009</t>
  </si>
  <si>
    <t>Harris, Harbo, Villa,Danka 2010</t>
  </si>
  <si>
    <t>Harris, Harbo, Villa,Danka 2011</t>
  </si>
  <si>
    <t>Harris, Harbo, Villa,Danka 2012</t>
  </si>
  <si>
    <t>Harris, Harbo, Villa,Danka 2013</t>
  </si>
  <si>
    <t>Harris, Harbo, Villa,Danka 2014</t>
  </si>
  <si>
    <t>Harris, Harbo, Villa,Danka 2015</t>
  </si>
  <si>
    <t>Harbo, Harris 1999 worst colony</t>
  </si>
  <si>
    <t>Harbo, Harris 1999 average colony</t>
  </si>
  <si>
    <t>Harbo, Harris 1999 best resistant colony</t>
  </si>
  <si>
    <t>Harbo, Harris 1999 average of resistant colonies</t>
  </si>
  <si>
    <t>Randy's typical California hive</t>
  </si>
  <si>
    <t>Typical range for com-mercial stocks</t>
  </si>
  <si>
    <t>Our   goal</t>
  </si>
  <si>
    <r>
      <t xml:space="preserve">Factor for increased rate of invasion of drone cells (after Boot) </t>
    </r>
    <r>
      <rPr>
        <sz val="12"/>
        <rFont val="Wingdings"/>
        <charset val="2"/>
      </rPr>
      <t>ð</t>
    </r>
  </si>
  <si>
    <t>Assumptions</t>
  </si>
  <si>
    <t>adult bees per fully-covered deep frame</t>
  </si>
  <si>
    <t>brood cells per deep frame 65% covered with brood</t>
  </si>
  <si>
    <t>Days per simulation interval</t>
  </si>
  <si>
    <t>Calculation of alcohol wash count, assumes 315 bees per sample</t>
  </si>
  <si>
    <t>No neighbors</t>
  </si>
  <si>
    <t>Mite-managed apiary</t>
  </si>
  <si>
    <t>Collapsing ferals and heavy robbing</t>
  </si>
  <si>
    <t>Mite-troubled apiaries</t>
  </si>
  <si>
    <t>Treatment-free urban neighborhood</t>
  </si>
  <si>
    <t>Total immigration</t>
  </si>
  <si>
    <t xml:space="preserve">Selected mite immigration </t>
  </si>
  <si>
    <t>Base your brood estimates upon the equivalent of this amount of brood coverage representing one frame of brood.  Even the best queens can only fill a maximum of 8-10 frames to 65% brood coverage.  Important note about intense honey flows: if the bees plug out the broodnest during an intense honey flow, you must account for that in your brood area estimate--cells full of nectar and pollen don't count as "brood."</t>
  </si>
  <si>
    <t>Net r value for the period</t>
  </si>
  <si>
    <t>Net  daily rate of mite increase (r value)</t>
  </si>
  <si>
    <t>For table blanking</t>
  </si>
  <si>
    <t>Entered % drone brood by area</t>
  </si>
  <si>
    <t>Converted % drone brood by cell</t>
  </si>
  <si>
    <r>
      <t>Percentage of drone cells:</t>
    </r>
    <r>
      <rPr>
        <sz val="10"/>
        <color theme="1"/>
        <rFont val="Arial"/>
        <family val="2"/>
      </rPr>
      <t xml:space="preserve"> estimate by area, not by actual count of cells.  Typ 5% at max, but can go as high as 20% if drone comb is added.</t>
    </r>
  </si>
  <si>
    <t>Est  % of reproducing mites  in drone brood</t>
  </si>
  <si>
    <r>
      <t xml:space="preserve">% of </t>
    </r>
    <r>
      <rPr>
        <i/>
        <u/>
        <sz val="10"/>
        <rFont val="Arial"/>
        <family val="2"/>
      </rPr>
      <t>all</t>
    </r>
    <r>
      <rPr>
        <sz val="10"/>
        <rFont val="Arial"/>
        <family val="2"/>
      </rPr>
      <t xml:space="preserve"> mites in drone brood</t>
    </r>
  </si>
  <si>
    <t>Arbitrary colony crash indicator (with brood)</t>
  </si>
  <si>
    <t>Arbitrary colony crash indicator (broodless)</t>
  </si>
  <si>
    <t xml:space="preserve"> Total </t>
  </si>
  <si>
    <r>
      <t xml:space="preserve">N: </t>
    </r>
    <r>
      <rPr>
        <sz val="16"/>
        <rFont val="Arial"/>
        <family val="2"/>
      </rPr>
      <t>N</t>
    </r>
    <r>
      <rPr>
        <b/>
        <sz val="16"/>
        <rFont val="Arial"/>
        <family val="2"/>
      </rPr>
      <t>ucleus colony, 5 frames of bees, 3 frames of brood, started 1 April</t>
    </r>
  </si>
  <si>
    <t>Max.</t>
  </si>
  <si>
    <t>Degree of varroa sensitive hygiene (percent)</t>
  </si>
  <si>
    <t>15-45</t>
  </si>
  <si>
    <t>High-efficacy synthetic miticide (such as amitraz applied over several weeks)</t>
  </si>
  <si>
    <t>Strong formic acid treatment (time release or hard flash)</t>
  </si>
  <si>
    <t>Single weak formic acid "knockback" treatment</t>
  </si>
  <si>
    <t>A single oxalic dribble or vapor in a hive containing brood, proportional to the % of mites phoretic.  30-75% if applied twice in the period.</t>
  </si>
  <si>
    <t>A single sugar dusting, at best, assuming 50% drop of phoretic mites*</t>
  </si>
  <si>
    <t>Scroll to the right (column AD) to see the Mite Immigration Setting choices graphed out &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</si>
  <si>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Cal'd values days phoretic</t>
  </si>
  <si>
    <t>Days</t>
  </si>
  <si>
    <t>Mites</t>
  </si>
  <si>
    <t>Data for graph</t>
  </si>
  <si>
    <t>40-60</t>
  </si>
  <si>
    <t>X</t>
  </si>
  <si>
    <t>% change in mite pop</t>
  </si>
  <si>
    <t>% change in bee pop</t>
  </si>
  <si>
    <t>The graphs below and to the right reflect the values on the Current Version tab.</t>
  </si>
  <si>
    <t>The graph to the left is to show how the mites outpace the bees in reproduction for much of the season.  It reflects the values of the current simulation (duplicated above).  I suggest first starting with a Default simulation (d), 25 mites (so that the colony doesn't crash),  immigration setting of 1, and no treatments.  This will give you an idea of what the colony is up against (you'll need to switch tabs back and forth to view).  You can then run custom simulations to input values for mite resistance, and see how the bees have the potential to bring the mite under control.  For example, input "custom" (under Advanced) and put a value of 0.8 into cell C40.</t>
  </si>
  <si>
    <t>Net adult bee mortality per day</t>
  </si>
  <si>
    <t>Comment</t>
  </si>
  <si>
    <r>
      <t>Baseline mite mortality/day when broodless (</t>
    </r>
    <r>
      <rPr>
        <b/>
        <sz val="10"/>
        <color rgb="FF0070C0"/>
        <rFont val="Arial"/>
        <family val="2"/>
      </rPr>
      <t>typ. ~ 0.005</t>
    </r>
    <r>
      <rPr>
        <sz val="10"/>
        <rFont val="Arial"/>
        <family val="2"/>
      </rPr>
      <t>)(long-lived bees) (</t>
    </r>
    <r>
      <rPr>
        <b/>
        <sz val="10"/>
        <rFont val="Arial"/>
        <family val="2"/>
      </rPr>
      <t>daily mortality may be affected by intensity of grooming behavior</t>
    </r>
    <r>
      <rPr>
        <sz val="10"/>
        <rFont val="Arial"/>
        <family val="2"/>
      </rPr>
      <t>)</t>
    </r>
  </si>
  <si>
    <r>
      <t xml:space="preserve">Baseline mite mortality/day during broodrearing (cluster broken).  </t>
    </r>
    <r>
      <rPr>
        <b/>
        <sz val="10"/>
        <color rgb="FFFF0000"/>
        <rFont val="Arial"/>
        <family val="2"/>
      </rPr>
      <t>Strongly affected by grooming behavior.</t>
    </r>
  </si>
  <si>
    <t>Default simulations are for bees exhibiting little mite resistance--you can customize for mite-resistance below</t>
  </si>
  <si>
    <t>Baseline varroa mortality when broodless</t>
  </si>
  <si>
    <t>Baseline varroa mortality during broodrearing</t>
  </si>
  <si>
    <r>
      <t xml:space="preserve">Infestation rate of outgoing bees relative to young adults in an alcohol wash at low mite levels.  </t>
    </r>
    <r>
      <rPr>
        <b/>
        <sz val="10"/>
        <color rgb="FFFF0000"/>
        <rFont val="Arial"/>
        <family val="2"/>
      </rPr>
      <t>This factor has a large impact upon the overall rate of mite buildup!</t>
    </r>
  </si>
  <si>
    <t>Arbitrary worker brood inf rate for crash when brood present</t>
  </si>
  <si>
    <t>A: Subtropical colony, dry climate; no winter brood break--Southern California</t>
  </si>
  <si>
    <t>Custom</t>
  </si>
  <si>
    <r>
      <t xml:space="preserve">Degree of varroa sensitive hygiene (percent).  </t>
    </r>
    <r>
      <rPr>
        <i/>
        <sz val="10"/>
        <rFont val="Arial"/>
        <family val="2"/>
      </rPr>
      <t>This has a strong effect upon the number of daughters per cycle!  This input may underestimate the net value of VSH, since it does not account for increased foundress mortality.</t>
    </r>
  </si>
  <si>
    <t>total eggs laid per year</t>
  </si>
  <si>
    <t>This number is often referred to as "fitness."  A foundress mite in a worker cell has the potential of producing a little over 2 daughters (see Kuster 2014 1710-1718 doi:10.1242/jeb.097766), but various studies indicate that the observed number is typically lower</t>
  </si>
  <si>
    <r>
      <t>Worker cell--mean number of daughters/cycle ("fitness")(</t>
    </r>
    <r>
      <rPr>
        <b/>
        <sz val="10"/>
        <color rgb="FF0070C0"/>
        <rFont val="Arial"/>
        <family val="2"/>
      </rPr>
      <t>typ 1.2</t>
    </r>
    <r>
      <rPr>
        <b/>
        <sz val="10"/>
        <color rgb="FF0070C0"/>
        <rFont val="Calibri"/>
        <family val="2"/>
      </rPr>
      <t>—</t>
    </r>
    <r>
      <rPr>
        <b/>
        <sz val="10"/>
        <color rgb="FF0070C0"/>
        <rFont val="Arial"/>
        <family val="2"/>
      </rPr>
      <t>1.5</t>
    </r>
    <r>
      <rPr>
        <sz val="10"/>
        <rFont val="Arial"/>
        <family val="2"/>
      </rPr>
      <t xml:space="preserve"> in various studies).  </t>
    </r>
  </si>
  <si>
    <t>https://doi.org/10.1080/00218839.2018.1494921</t>
  </si>
  <si>
    <t xml:space="preserve">In Italy in late summer  40-48% of the sum of (total natural mite drop over 25 days + total mites dropped by strong treatment over 6 weeks) dropped over those 25 days. </t>
  </si>
  <si>
    <t>Boot 1995 Does time spent on adult bees affect reproductive success of Varroa mites?</t>
  </si>
  <si>
    <t>85%, 3x</t>
  </si>
  <si>
    <t xml:space="preserve">Extended-release OA/glycerin towels; for end result at 45 days, enter 85% for 3 consecutive cells. starting at time of application.  </t>
  </si>
  <si>
    <t>Treatment % kill of total mites</t>
  </si>
  <si>
    <t>Mite population</t>
  </si>
  <si>
    <t>Colony type*</t>
  </si>
  <si>
    <t>Mite immigration**</t>
  </si>
  <si>
    <t>* Colony types</t>
  </si>
  <si>
    <t>** Mite immigration level</t>
  </si>
  <si>
    <t>15-45%</t>
  </si>
  <si>
    <t>80-95%</t>
  </si>
  <si>
    <t>15-20%</t>
  </si>
  <si>
    <t>High-efficacy synthetic miticide, such as amitraz, applied properly over several weeks</t>
  </si>
  <si>
    <t>Virus crash if 15 Sept wash &gt;60 despite trtmt</t>
  </si>
  <si>
    <t>Type "x" above for Southern Hemisphere</t>
  </si>
  <si>
    <r>
      <t>Mite reductions</t>
    </r>
    <r>
      <rPr>
        <b/>
        <sz val="10"/>
        <rFont val="Wingdings"/>
        <charset val="2"/>
      </rPr>
      <t>è</t>
    </r>
  </si>
  <si>
    <t>You can create your own customized colony type at the Colony tab</t>
  </si>
  <si>
    <t xml:space="preserve">Customize yourself </t>
  </si>
  <si>
    <t>© Randy Oliver 2016, 2017,2018, 2019, 2020</t>
  </si>
  <si>
    <t>Colony type</t>
  </si>
  <si>
    <t>Mite immigration</t>
  </si>
  <si>
    <t>Starting mite pop; nuc and package mite counts will be applied on 1 April.</t>
  </si>
  <si>
    <r>
      <t xml:space="preserve">Leave this box blank to use the blue default values, or type in "custom" to modify values in the green cells below (the red </t>
    </r>
    <r>
      <rPr>
        <b/>
        <sz val="10"/>
        <color rgb="FFFF0000"/>
        <rFont val="Arial"/>
        <family val="2"/>
      </rPr>
      <t>V</t>
    </r>
    <r>
      <rPr>
        <sz val="10"/>
        <rFont val="Arial"/>
        <family val="2"/>
      </rPr>
      <t xml:space="preserve"> will indicate the switch).</t>
    </r>
  </si>
  <si>
    <t>CUSTOMIZATION OF THE MODEL (and sensitivity analysis for mite resistance factors)</t>
  </si>
  <si>
    <t>sb</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</si>
</sst>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409]d\-mmm;@"/>
    <numFmt numFmtId="165" formatCode="0.000"/>
    <numFmt numFmtId="166" formatCode="0.0"/>
    <numFmt numFmtId="167" formatCode="0.0%"/>
    <numFmt numFmtId="168" formatCode="0.0000"/>
    <numFmt numFmtId="169" formatCode="#,##0.000"/>
    <numFmt numFmtId="170" formatCode="#,##0.0"/>
    <numFmt numFmtId="171" formatCode="d\ mmm"/>
  </numFmts>
  <fonts count="49" x14ac:knownFonts="1">
    <font>
      <sz val="10"/>
      <name val="Arial"/>
      <family val="2"/>
    </font>
    <font>
      <sz val="11"/>
      <color theme="1"/>
      <name val="Calibri"/>
      <family val="2"/>
      <scheme val="minor"/>
    </font>
    <font>
      <sz val="11"/>
      <color theme="1"/>
      <name val="Calibri"/>
      <family val="2"/>
      <scheme val="minor"/>
    </font>
    <font>
      <i/>
      <sz val="10"/>
      <name val="Arial"/>
      <family val="2"/>
    </font>
    <font>
      <b/>
      <sz val="10"/>
      <name val="Arial"/>
      <family val="2"/>
    </font>
    <font>
      <b/>
      <sz val="10"/>
      <color rgb="FFFF0000"/>
      <name val="Arial"/>
      <family val="2"/>
    </font>
    <font>
      <sz val="10"/>
      <name val="Calibri"/>
      <family val="2"/>
    </font>
    <font>
      <sz val="10"/>
      <color rgb="FFFF0000"/>
      <name val="Arial"/>
      <family val="2"/>
    </font>
    <font>
      <b/>
      <sz val="10"/>
      <color rgb="FF0070C0"/>
      <name val="Arial"/>
      <family val="2"/>
    </font>
    <font>
      <b/>
      <sz val="10"/>
      <color theme="1"/>
      <name val="Arial"/>
      <family val="2"/>
    </font>
    <font>
      <sz val="10"/>
      <color theme="1"/>
      <name val="Arial"/>
      <family val="2"/>
    </font>
    <font>
      <sz val="10"/>
      <color rgb="FF00B0F0"/>
      <name val="Arial"/>
      <family val="2"/>
    </font>
    <font>
      <sz val="24"/>
      <name val="Arial"/>
      <family val="2"/>
    </font>
    <font>
      <sz val="18"/>
      <name val="Arial"/>
      <family val="2"/>
    </font>
    <font>
      <b/>
      <sz val="11"/>
      <color theme="1"/>
      <name val="Calibri"/>
      <family val="2"/>
      <scheme val="minor"/>
    </font>
    <font>
      <b/>
      <sz val="10"/>
      <color rgb="FF002060"/>
      <name val="Arial"/>
      <family val="2"/>
    </font>
    <font>
      <sz val="10"/>
      <color rgb="FF0070C0"/>
      <name val="Arial"/>
      <family val="2"/>
    </font>
    <font>
      <sz val="10"/>
      <color theme="3"/>
      <name val="Arial"/>
      <family val="2"/>
    </font>
    <font>
      <b/>
      <i/>
      <sz val="10"/>
      <name val="Arial"/>
      <family val="2"/>
    </font>
    <font>
      <b/>
      <sz val="10"/>
      <color rgb="FF00B0F0"/>
      <name val="Arial"/>
      <family val="2"/>
    </font>
    <font>
      <sz val="10"/>
      <name val="Arial"/>
      <family val="2"/>
    </font>
    <font>
      <sz val="10"/>
      <color rgb="FF000000"/>
      <name val="Arial"/>
      <family val="2"/>
    </font>
    <font>
      <b/>
      <sz val="16"/>
      <name val="Arial"/>
      <family val="2"/>
    </font>
    <font>
      <sz val="24"/>
      <name val="Wingdings"/>
      <charset val="2"/>
    </font>
    <font>
      <sz val="18"/>
      <name val="Calibri"/>
      <family val="2"/>
    </font>
    <font>
      <b/>
      <sz val="12"/>
      <name val="Arial"/>
      <family val="2"/>
    </font>
    <font>
      <sz val="16"/>
      <name val="Arial"/>
      <family val="2"/>
    </font>
    <font>
      <b/>
      <sz val="9"/>
      <color rgb="FFFF0000"/>
      <name val="Arial"/>
      <family val="2"/>
    </font>
    <font>
      <sz val="10"/>
      <name val="Wingdings"/>
      <charset val="2"/>
    </font>
    <font>
      <i/>
      <sz val="9"/>
      <name val="Arial"/>
      <family val="2"/>
    </font>
    <font>
      <b/>
      <sz val="10"/>
      <color rgb="FF00B050"/>
      <name val="Arial"/>
      <family val="2"/>
    </font>
    <font>
      <b/>
      <sz val="11"/>
      <name val="Arial"/>
      <family val="2"/>
    </font>
    <font>
      <sz val="10"/>
      <color rgb="FF00B050"/>
      <name val="Arial"/>
      <family val="2"/>
    </font>
    <font>
      <b/>
      <sz val="10"/>
      <color rgb="FF0070C0"/>
      <name val="Calibri"/>
      <family val="2"/>
    </font>
    <font>
      <sz val="14"/>
      <name val="Wingdings"/>
      <charset val="2"/>
    </font>
    <font>
      <i/>
      <sz val="10"/>
      <color theme="1"/>
      <name val="Arial"/>
      <family val="2"/>
    </font>
    <font>
      <i/>
      <sz val="10"/>
      <color theme="1"/>
      <name val="Calibri"/>
      <family val="2"/>
    </font>
    <font>
      <sz val="9"/>
      <color indexed="81"/>
      <name val="Tahoma"/>
      <family val="2"/>
    </font>
    <font>
      <b/>
      <sz val="9"/>
      <color indexed="81"/>
      <name val="Tahoma"/>
      <family val="2"/>
    </font>
    <font>
      <b/>
      <sz val="10"/>
      <name val="Wingdings"/>
      <charset val="2"/>
    </font>
    <font>
      <sz val="9"/>
      <name val="Arial"/>
      <family val="2"/>
    </font>
    <font>
      <b/>
      <i/>
      <sz val="14"/>
      <color theme="4"/>
      <name val="Arial"/>
      <family val="2"/>
    </font>
    <font>
      <sz val="12"/>
      <name val="Wingdings"/>
      <charset val="2"/>
    </font>
    <font>
      <i/>
      <sz val="9"/>
      <color indexed="81"/>
      <name val="Tahoma"/>
      <family val="2"/>
    </font>
    <font>
      <i/>
      <u/>
      <sz val="10"/>
      <name val="Arial"/>
      <family val="2"/>
    </font>
    <font>
      <b/>
      <i/>
      <sz val="10"/>
      <color theme="1"/>
      <name val="Arial"/>
      <family val="2"/>
    </font>
    <font>
      <b/>
      <sz val="9"/>
      <name val="Arial"/>
      <family val="2"/>
    </font>
    <font>
      <sz val="11"/>
      <name val="Arial"/>
      <family val="2"/>
    </font>
    <font>
      <b/>
      <sz val="10"/>
      <color rgb="FFFF0000"/>
      <name val="Arial Narrow"/>
      <family val="2"/>
    </font>
  </fonts>
  <fills count="1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B3E971"/>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ABFF"/>
        <bgColor indexed="64"/>
      </patternFill>
    </fill>
    <fill>
      <patternFill patternType="solid">
        <fgColor rgb="FF69D8FF"/>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7DFF"/>
        <bgColor indexed="64"/>
      </patternFill>
    </fill>
    <fill>
      <patternFill patternType="solid">
        <fgColor theme="1"/>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rgb="FF0070C0"/>
      </left>
      <right/>
      <top/>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ck">
        <color rgb="FFFF0000"/>
      </bottom>
      <diagonal/>
    </border>
    <border>
      <left style="thick">
        <color rgb="FFFF0000"/>
      </left>
      <right/>
      <top/>
      <bottom/>
      <diagonal/>
    </border>
    <border>
      <left style="thick">
        <color rgb="FFFF0000"/>
      </left>
      <right/>
      <top style="thick">
        <color rgb="FFFF0000"/>
      </top>
      <bottom style="thick">
        <color rgb="FFFF0000"/>
      </bottom>
      <diagonal/>
    </border>
    <border>
      <left/>
      <right/>
      <top/>
      <bottom style="thin">
        <color theme="1"/>
      </bottom>
      <diagonal/>
    </border>
    <border>
      <left style="thin">
        <color rgb="FF0070C0"/>
      </left>
      <right style="thin">
        <color rgb="FF0070C0"/>
      </right>
      <top style="thin">
        <color indexed="64"/>
      </top>
      <bottom style="thin">
        <color indexed="64"/>
      </bottom>
      <diagonal/>
    </border>
    <border>
      <left style="thin">
        <color theme="1"/>
      </left>
      <right/>
      <top/>
      <bottom style="thin">
        <color theme="1"/>
      </bottom>
      <diagonal/>
    </border>
    <border>
      <left/>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right style="thin">
        <color theme="1"/>
      </right>
      <top/>
      <bottom style="thin">
        <color theme="1"/>
      </bottom>
      <diagonal/>
    </border>
  </borders>
  <cellStyleXfs count="5">
    <xf numFmtId="0" fontId="0" fillId="0" borderId="0"/>
    <xf numFmtId="0" fontId="2" fillId="0" borderId="0"/>
    <xf numFmtId="0" fontId="2" fillId="0" borderId="0"/>
    <xf numFmtId="0" fontId="1" fillId="0" borderId="0"/>
    <xf numFmtId="43" fontId="20" fillId="0" borderId="0" applyFont="0" applyFill="0" applyBorder="0" applyAlignment="0" applyProtection="0"/>
  </cellStyleXfs>
  <cellXfs count="548">
    <xf numFmtId="0" fontId="0" fillId="0" borderId="0" xfId="0"/>
    <xf numFmtId="0" fontId="5" fillId="0" borderId="1" xfId="0" applyFont="1" applyBorder="1" applyAlignment="1">
      <alignment horizontal="center" vertical="center" wrapText="1"/>
    </xf>
    <xf numFmtId="164" fontId="0" fillId="0" borderId="1" xfId="0" applyNumberFormat="1" applyFont="1" applyBorder="1" applyAlignment="1">
      <alignment horizontal="center"/>
    </xf>
    <xf numFmtId="9" fontId="0" fillId="0" borderId="1" xfId="0" applyNumberFormat="1" applyFont="1" applyBorder="1" applyAlignment="1">
      <alignment horizontal="center"/>
    </xf>
    <xf numFmtId="9" fontId="5" fillId="0" borderId="1" xfId="0" applyNumberFormat="1" applyFont="1" applyBorder="1" applyAlignment="1">
      <alignment horizontal="center"/>
    </xf>
    <xf numFmtId="0" fontId="0" fillId="0" borderId="0" xfId="0" applyFont="1" applyAlignment="1">
      <alignment horizontal="right"/>
    </xf>
    <xf numFmtId="0" fontId="4" fillId="0" borderId="0" xfId="0" applyFont="1"/>
    <xf numFmtId="0" fontId="0" fillId="0" borderId="0" xfId="0" applyFont="1"/>
    <xf numFmtId="0" fontId="7" fillId="0" borderId="0" xfId="0" applyFont="1"/>
    <xf numFmtId="166" fontId="8" fillId="0" borderId="1" xfId="0" applyNumberFormat="1" applyFont="1" applyFill="1" applyBorder="1" applyAlignment="1">
      <alignment horizontal="center"/>
    </xf>
    <xf numFmtId="0" fontId="0" fillId="0" borderId="0" xfId="0" applyAlignment="1">
      <alignment horizontal="right" wrapText="1"/>
    </xf>
    <xf numFmtId="0" fontId="4" fillId="0" borderId="0" xfId="0" applyFont="1" applyBorder="1" applyAlignment="1">
      <alignment vertical="center" wrapText="1"/>
    </xf>
    <xf numFmtId="0" fontId="0" fillId="0" borderId="0" xfId="0" applyFill="1"/>
    <xf numFmtId="2" fontId="0" fillId="0" borderId="0" xfId="0" applyNumberFormat="1" applyAlignment="1">
      <alignment horizontal="left" vertical="center"/>
    </xf>
    <xf numFmtId="0" fontId="8" fillId="0" borderId="0" xfId="0" applyFont="1" applyAlignment="1">
      <alignment horizontal="center"/>
    </xf>
    <xf numFmtId="0" fontId="4" fillId="0" borderId="0" xfId="0" applyFont="1" applyAlignment="1">
      <alignment horizontal="left" vertical="center"/>
    </xf>
    <xf numFmtId="0" fontId="0" fillId="0" borderId="0" xfId="0" applyFont="1" applyAlignment="1">
      <alignment horizontal="left"/>
    </xf>
    <xf numFmtId="3" fontId="0" fillId="0" borderId="0" xfId="0" applyNumberFormat="1"/>
    <xf numFmtId="1" fontId="0" fillId="0" borderId="0" xfId="0" applyNumberFormat="1"/>
    <xf numFmtId="0" fontId="8" fillId="0" borderId="0" xfId="0" applyFont="1" applyAlignment="1">
      <alignment horizontal="center" vertical="center"/>
    </xf>
    <xf numFmtId="0" fontId="0" fillId="0" borderId="0" xfId="0" applyAlignment="1">
      <alignment wrapText="1"/>
    </xf>
    <xf numFmtId="2" fontId="0" fillId="0" borderId="0" xfId="0" applyNumberFormat="1"/>
    <xf numFmtId="0" fontId="4" fillId="0" borderId="0" xfId="0" applyFont="1" applyAlignment="1"/>
    <xf numFmtId="9" fontId="0" fillId="0" borderId="0" xfId="0" applyNumberFormat="1" applyAlignment="1">
      <alignment horizontal="left" vertical="center"/>
    </xf>
    <xf numFmtId="1"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Fill="1" applyAlignment="1">
      <alignment horizontal="center" vertical="center" wrapText="1"/>
    </xf>
    <xf numFmtId="166" fontId="0" fillId="0" borderId="0" xfId="0" applyNumberFormat="1" applyAlignment="1">
      <alignment horizontal="right"/>
    </xf>
    <xf numFmtId="1" fontId="0" fillId="0" borderId="0" xfId="0" applyNumberFormat="1" applyAlignment="1">
      <alignment horizontal="right"/>
    </xf>
    <xf numFmtId="165" fontId="0" fillId="0" borderId="0" xfId="0" applyNumberFormat="1"/>
    <xf numFmtId="166" fontId="0" fillId="0" borderId="0" xfId="0" applyNumberFormat="1"/>
    <xf numFmtId="4" fontId="0" fillId="0" borderId="0" xfId="0" applyNumberFormat="1"/>
    <xf numFmtId="9" fontId="0" fillId="0" borderId="0" xfId="0" applyNumberFormat="1" applyAlignment="1">
      <alignment horizontal="right"/>
    </xf>
    <xf numFmtId="1" fontId="0" fillId="0" borderId="0" xfId="0" applyNumberFormat="1" applyBorder="1" applyAlignment="1">
      <alignment wrapText="1"/>
    </xf>
    <xf numFmtId="165" fontId="4" fillId="0" borderId="0" xfId="0" applyNumberFormat="1" applyFont="1"/>
    <xf numFmtId="1" fontId="4" fillId="0" borderId="0" xfId="0" applyNumberFormat="1" applyFont="1"/>
    <xf numFmtId="165" fontId="4" fillId="0" borderId="0" xfId="0" applyNumberFormat="1" applyFont="1" applyAlignment="1">
      <alignment horizontal="right"/>
    </xf>
    <xf numFmtId="9" fontId="0" fillId="0" borderId="0" xfId="0" applyNumberFormat="1"/>
    <xf numFmtId="1" fontId="0" fillId="0" borderId="0" xfId="0" applyNumberFormat="1" applyAlignment="1">
      <alignment wrapText="1"/>
    </xf>
    <xf numFmtId="165" fontId="0" fillId="0" borderId="0" xfId="0" applyNumberFormat="1" applyAlignment="1">
      <alignment wrapText="1"/>
    </xf>
    <xf numFmtId="2" fontId="0" fillId="0" borderId="0" xfId="0" applyNumberFormat="1" applyAlignment="1">
      <alignment wrapText="1"/>
    </xf>
    <xf numFmtId="2" fontId="4" fillId="0" borderId="0" xfId="0" applyNumberFormat="1" applyFont="1"/>
    <xf numFmtId="0" fontId="0" fillId="0" borderId="0" xfId="0" applyFill="1" applyBorder="1"/>
    <xf numFmtId="1" fontId="0" fillId="0" borderId="0" xfId="0" applyNumberFormat="1" applyAlignment="1">
      <alignment horizontal="left" vertical="center"/>
    </xf>
    <xf numFmtId="0" fontId="0" fillId="0" borderId="0" xfId="0" applyFill="1" applyAlignment="1">
      <alignment horizontal="center"/>
    </xf>
    <xf numFmtId="9" fontId="0" fillId="0" borderId="0" xfId="0" applyNumberFormat="1" applyFill="1" applyAlignment="1">
      <alignment horizontal="center"/>
    </xf>
    <xf numFmtId="9" fontId="0" fillId="3" borderId="0" xfId="0" applyNumberFormat="1" applyFill="1" applyAlignment="1">
      <alignment horizontal="center"/>
    </xf>
    <xf numFmtId="0" fontId="5" fillId="0" borderId="0" xfId="0" applyFont="1" applyAlignment="1">
      <alignment horizontal="right"/>
    </xf>
    <xf numFmtId="3" fontId="0" fillId="0" borderId="0" xfId="0" applyNumberFormat="1" applyAlignment="1">
      <alignment horizontal="left"/>
    </xf>
    <xf numFmtId="0" fontId="4" fillId="0" borderId="0" xfId="0" applyFont="1" applyFill="1"/>
    <xf numFmtId="10" fontId="0" fillId="0" borderId="0" xfId="0" applyNumberFormat="1"/>
    <xf numFmtId="1" fontId="0" fillId="4" borderId="0" xfId="0" applyNumberFormat="1" applyFill="1"/>
    <xf numFmtId="0" fontId="0" fillId="4" borderId="0" xfId="0" applyFill="1"/>
    <xf numFmtId="165" fontId="4" fillId="0" borderId="0" xfId="0" applyNumberFormat="1" applyFont="1" applyAlignment="1">
      <alignment horizontal="left" vertical="center"/>
    </xf>
    <xf numFmtId="0" fontId="0" fillId="0" borderId="0" xfId="0" applyAlignment="1"/>
    <xf numFmtId="165" fontId="0" fillId="0" borderId="0" xfId="0" applyNumberFormat="1" applyFill="1"/>
    <xf numFmtId="0" fontId="5" fillId="0" borderId="0" xfId="0" applyFont="1" applyFill="1" applyAlignment="1">
      <alignment horizontal="center" vertical="center" wrapText="1"/>
    </xf>
    <xf numFmtId="1" fontId="0" fillId="0" borderId="0" xfId="0" applyNumberFormat="1" applyAlignment="1">
      <alignment horizontal="center"/>
    </xf>
    <xf numFmtId="2" fontId="0" fillId="0" borderId="0" xfId="0" applyNumberFormat="1" applyAlignment="1">
      <alignment horizontal="right"/>
    </xf>
    <xf numFmtId="3" fontId="5" fillId="0" borderId="1" xfId="0" applyNumberFormat="1" applyFont="1" applyBorder="1" applyAlignment="1">
      <alignment horizontal="center"/>
    </xf>
    <xf numFmtId="0" fontId="0" fillId="0" borderId="0" xfId="0" applyAlignment="1">
      <alignment vertical="center"/>
    </xf>
    <xf numFmtId="0" fontId="4" fillId="6" borderId="1" xfId="0" applyFont="1" applyFill="1" applyBorder="1" applyAlignment="1">
      <alignment horizontal="center" vertical="center"/>
    </xf>
    <xf numFmtId="0" fontId="11" fillId="0" borderId="0" xfId="0" applyFont="1" applyAlignment="1">
      <alignment horizontal="center" vertical="center" wrapText="1"/>
    </xf>
    <xf numFmtId="1" fontId="10" fillId="6" borderId="0" xfId="0" applyNumberFormat="1" applyFont="1" applyFill="1" applyAlignment="1">
      <alignment horizontal="center" vertical="center" wrapText="1"/>
    </xf>
    <xf numFmtId="0" fontId="0" fillId="0" borderId="0" xfId="0" applyBorder="1"/>
    <xf numFmtId="10" fontId="0" fillId="2" borderId="0" xfId="0" applyNumberFormat="1" applyFill="1"/>
    <xf numFmtId="0" fontId="16" fillId="0" borderId="0" xfId="0" applyFont="1"/>
    <xf numFmtId="0" fontId="4" fillId="0" borderId="0" xfId="0" applyFont="1" applyAlignment="1">
      <alignment horizontal="right"/>
    </xf>
    <xf numFmtId="0" fontId="0" fillId="0" borderId="0" xfId="0" applyAlignment="1">
      <alignment vertical="top" wrapText="1"/>
    </xf>
    <xf numFmtId="0" fontId="0" fillId="8" borderId="0" xfId="0" applyFill="1" applyAlignment="1">
      <alignment horizontal="center" vertical="center" wrapText="1"/>
    </xf>
    <xf numFmtId="166" fontId="0" fillId="4" borderId="0" xfId="0" applyNumberFormat="1" applyFill="1" applyAlignment="1">
      <alignment horizontal="center" vertical="center" wrapText="1"/>
    </xf>
    <xf numFmtId="1" fontId="0" fillId="4" borderId="0" xfId="0" applyNumberFormat="1" applyFill="1" applyAlignment="1">
      <alignment horizontal="right"/>
    </xf>
    <xf numFmtId="1" fontId="0" fillId="8" borderId="0" xfId="0" applyNumberFormat="1" applyFill="1" applyAlignment="1">
      <alignment horizontal="right"/>
    </xf>
    <xf numFmtId="166" fontId="0" fillId="8" borderId="0" xfId="0" applyNumberFormat="1" applyFill="1" applyAlignment="1">
      <alignment horizontal="right"/>
    </xf>
    <xf numFmtId="166" fontId="0" fillId="4" borderId="0" xfId="0" applyNumberFormat="1" applyFill="1"/>
    <xf numFmtId="9" fontId="4" fillId="8" borderId="0" xfId="0" applyNumberFormat="1" applyFont="1" applyFill="1" applyAlignment="1">
      <alignment horizontal="right"/>
    </xf>
    <xf numFmtId="9" fontId="4" fillId="4" borderId="0" xfId="0" applyNumberFormat="1" applyFont="1" applyFill="1"/>
    <xf numFmtId="0" fontId="0" fillId="0" borderId="0" xfId="0" applyFont="1" applyAlignment="1">
      <alignment vertical="center"/>
    </xf>
    <xf numFmtId="165" fontId="0" fillId="8" borderId="0" xfId="0" applyNumberFormat="1" applyFill="1"/>
    <xf numFmtId="165" fontId="0" fillId="4" borderId="0" xfId="0" applyNumberFormat="1" applyFill="1"/>
    <xf numFmtId="2" fontId="0" fillId="6" borderId="0" xfId="0" applyNumberFormat="1" applyFill="1" applyAlignment="1">
      <alignment horizontal="center"/>
    </xf>
    <xf numFmtId="166" fontId="0" fillId="6" borderId="0" xfId="0" applyNumberFormat="1" applyFill="1" applyAlignment="1">
      <alignment horizontal="center"/>
    </xf>
    <xf numFmtId="0" fontId="0" fillId="5" borderId="0" xfId="0" applyFill="1"/>
    <xf numFmtId="2" fontId="0" fillId="4" borderId="0" xfId="0" applyNumberFormat="1" applyFill="1"/>
    <xf numFmtId="2" fontId="0" fillId="8" borderId="0" xfId="0" applyNumberFormat="1" applyFill="1"/>
    <xf numFmtId="0" fontId="4" fillId="0" borderId="1" xfId="0" applyFont="1" applyBorder="1" applyAlignment="1">
      <alignment horizontal="right"/>
    </xf>
    <xf numFmtId="0" fontId="4" fillId="0" borderId="0" xfId="0" applyFont="1" applyFill="1" applyBorder="1" applyAlignment="1"/>
    <xf numFmtId="0" fontId="8" fillId="0" borderId="0" xfId="0" applyFont="1" applyFill="1" applyAlignment="1">
      <alignment horizontal="center"/>
    </xf>
    <xf numFmtId="43" fontId="0" fillId="0" borderId="0" xfId="4" applyFont="1" applyBorder="1" applyAlignment="1">
      <alignment wrapText="1"/>
    </xf>
    <xf numFmtId="1" fontId="0" fillId="9" borderId="0" xfId="0" applyNumberFormat="1" applyFill="1"/>
    <xf numFmtId="0" fontId="0" fillId="9" borderId="0" xfId="0" applyFill="1"/>
    <xf numFmtId="0" fontId="4" fillId="0" borderId="0" xfId="0" applyFont="1" applyAlignment="1">
      <alignment horizontal="center" vertical="center"/>
    </xf>
    <xf numFmtId="0" fontId="4" fillId="0" borderId="1" xfId="0" applyFont="1" applyBorder="1"/>
    <xf numFmtId="0" fontId="0" fillId="4" borderId="0" xfId="0" applyFill="1" applyAlignment="1"/>
    <xf numFmtId="0" fontId="0" fillId="8" borderId="0" xfId="0" applyFill="1" applyAlignment="1"/>
    <xf numFmtId="1" fontId="5" fillId="0" borderId="0" xfId="0" applyNumberFormat="1" applyFont="1"/>
    <xf numFmtId="0" fontId="4" fillId="2" borderId="0" xfId="0" applyFont="1" applyFill="1" applyAlignment="1">
      <alignment horizontal="center" vertical="center" wrapText="1"/>
    </xf>
    <xf numFmtId="3" fontId="4" fillId="0" borderId="0" xfId="0" applyNumberFormat="1" applyFont="1" applyFill="1" applyAlignment="1">
      <alignment horizontal="center" vertical="center" wrapText="1"/>
    </xf>
    <xf numFmtId="3" fontId="4" fillId="0" borderId="0" xfId="0" applyNumberFormat="1" applyFont="1" applyFill="1"/>
    <xf numFmtId="165" fontId="0" fillId="0" borderId="0" xfId="0" applyNumberFormat="1" applyFill="1" applyAlignment="1">
      <alignment wrapText="1"/>
    </xf>
    <xf numFmtId="1" fontId="0" fillId="0" borderId="0" xfId="0" applyNumberFormat="1" applyAlignment="1"/>
    <xf numFmtId="0" fontId="0" fillId="0" borderId="0" xfId="0" applyAlignment="1">
      <alignment horizontal="right" vertical="center"/>
    </xf>
    <xf numFmtId="9" fontId="0" fillId="8" borderId="0" xfId="0" applyNumberFormat="1" applyFill="1" applyAlignment="1">
      <alignment horizontal="right"/>
    </xf>
    <xf numFmtId="9" fontId="0" fillId="4" borderId="0" xfId="0" applyNumberFormat="1" applyFill="1"/>
    <xf numFmtId="2" fontId="0" fillId="0" borderId="0" xfId="0" applyNumberFormat="1" applyFill="1"/>
    <xf numFmtId="0" fontId="5" fillId="6" borderId="1" xfId="0" applyFont="1" applyFill="1" applyBorder="1" applyAlignment="1">
      <alignment horizontal="center"/>
    </xf>
    <xf numFmtId="2" fontId="0" fillId="0" borderId="0" xfId="0" applyNumberFormat="1" applyFill="1" applyAlignment="1">
      <alignment horizontal="center"/>
    </xf>
    <xf numFmtId="2" fontId="0" fillId="0" borderId="0" xfId="0" applyNumberFormat="1" applyAlignment="1"/>
    <xf numFmtId="166" fontId="7" fillId="0" borderId="0" xfId="0" applyNumberFormat="1" applyFont="1" applyAlignment="1">
      <alignment horizontal="right" vertical="center"/>
    </xf>
    <xf numFmtId="166" fontId="16" fillId="0" borderId="0" xfId="0" applyNumberFormat="1" applyFont="1" applyAlignment="1">
      <alignment horizontal="right"/>
    </xf>
    <xf numFmtId="9" fontId="8" fillId="0" borderId="1" xfId="0" applyNumberFormat="1" applyFont="1" applyFill="1" applyBorder="1" applyAlignment="1">
      <alignment horizontal="center"/>
    </xf>
    <xf numFmtId="0" fontId="5" fillId="0" borderId="0" xfId="0" applyFont="1" applyFill="1" applyBorder="1" applyAlignment="1">
      <alignment horizontal="center"/>
    </xf>
    <xf numFmtId="165" fontId="0" fillId="10" borderId="0" xfId="0" applyNumberFormat="1" applyFill="1"/>
    <xf numFmtId="0" fontId="0" fillId="8" borderId="0" xfId="0" applyFill="1"/>
    <xf numFmtId="0" fontId="4" fillId="2" borderId="1" xfId="0" applyFont="1" applyFill="1" applyBorder="1" applyAlignment="1" applyProtection="1">
      <alignment horizontal="center"/>
      <protection locked="0"/>
    </xf>
    <xf numFmtId="0" fontId="0" fillId="8" borderId="0" xfId="0" applyFont="1" applyFill="1" applyAlignment="1"/>
    <xf numFmtId="0" fontId="0" fillId="4" borderId="0" xfId="0" applyFont="1" applyFill="1"/>
    <xf numFmtId="0" fontId="21" fillId="8" borderId="0" xfId="0" applyFont="1" applyFill="1" applyAlignment="1">
      <alignment horizontal="left" vertical="center" readingOrder="1"/>
    </xf>
    <xf numFmtId="0" fontId="4" fillId="8" borderId="0" xfId="0" applyFont="1" applyFill="1" applyAlignment="1"/>
    <xf numFmtId="0" fontId="4" fillId="4" borderId="0" xfId="0" applyFont="1" applyFill="1" applyAlignment="1"/>
    <xf numFmtId="2" fontId="8" fillId="0" borderId="1" xfId="0" applyNumberFormat="1" applyFont="1" applyFill="1" applyBorder="1" applyAlignment="1">
      <alignment horizontal="center"/>
    </xf>
    <xf numFmtId="167" fontId="8" fillId="0" borderId="1" xfId="0" applyNumberFormat="1" applyFont="1" applyFill="1" applyBorder="1" applyAlignment="1">
      <alignment horizontal="center"/>
    </xf>
    <xf numFmtId="0" fontId="19"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9" fillId="0" borderId="0" xfId="0" applyFont="1" applyFill="1" applyBorder="1" applyAlignment="1"/>
    <xf numFmtId="9" fontId="4" fillId="2" borderId="1" xfId="0" applyNumberFormat="1" applyFont="1" applyFill="1" applyBorder="1" applyAlignment="1" applyProtection="1">
      <alignment horizontal="center"/>
      <protection locked="0"/>
    </xf>
    <xf numFmtId="0" fontId="4" fillId="0" borderId="0" xfId="0" applyFont="1" applyBorder="1" applyAlignment="1"/>
    <xf numFmtId="0" fontId="0" fillId="0" borderId="0" xfId="0" applyProtection="1"/>
    <xf numFmtId="1" fontId="0" fillId="0" borderId="0" xfId="0" applyNumberFormat="1" applyBorder="1"/>
    <xf numFmtId="0" fontId="7" fillId="0" borderId="0" xfId="0" applyFont="1" applyAlignment="1">
      <alignment horizontal="center" vertical="center" wrapText="1"/>
    </xf>
    <xf numFmtId="9" fontId="7" fillId="0" borderId="0" xfId="0" applyNumberFormat="1" applyFont="1" applyAlignment="1">
      <alignment horizontal="right"/>
    </xf>
    <xf numFmtId="0" fontId="10" fillId="0" borderId="0" xfId="0" applyFont="1"/>
    <xf numFmtId="0" fontId="4" fillId="0" borderId="0" xfId="0" applyFont="1" applyFill="1" applyAlignment="1">
      <alignment horizontal="center" vertical="center" wrapText="1"/>
    </xf>
    <xf numFmtId="165" fontId="4" fillId="0" borderId="0" xfId="0" applyNumberFormat="1" applyFont="1" applyFill="1"/>
    <xf numFmtId="0" fontId="4" fillId="11" borderId="0" xfId="0" applyFont="1" applyFill="1" applyAlignment="1">
      <alignment horizontal="center" vertical="center" wrapText="1"/>
    </xf>
    <xf numFmtId="3" fontId="4" fillId="11" borderId="0" xfId="0" applyNumberFormat="1" applyFont="1" applyFill="1"/>
    <xf numFmtId="0" fontId="9" fillId="11" borderId="0" xfId="0" applyFont="1" applyFill="1" applyAlignment="1">
      <alignment horizontal="center" vertical="center" wrapText="1"/>
    </xf>
    <xf numFmtId="1" fontId="4" fillId="11" borderId="0" xfId="0" applyNumberFormat="1" applyFont="1" applyFill="1"/>
    <xf numFmtId="0" fontId="0" fillId="10" borderId="0" xfId="0" applyFill="1" applyAlignment="1">
      <alignment horizontal="center"/>
    </xf>
    <xf numFmtId="0" fontId="5" fillId="0" borderId="0" xfId="0" applyFont="1" applyAlignment="1">
      <alignment horizontal="center"/>
    </xf>
    <xf numFmtId="0" fontId="0" fillId="0" borderId="10" xfId="0" applyBorder="1" applyAlignment="1">
      <alignment horizontal="center" vertical="center" wrapText="1"/>
    </xf>
    <xf numFmtId="166" fontId="16" fillId="0" borderId="0" xfId="0" applyNumberFormat="1" applyFont="1" applyBorder="1" applyAlignment="1">
      <alignment horizontal="right"/>
    </xf>
    <xf numFmtId="166" fontId="16" fillId="0" borderId="11" xfId="0" applyNumberFormat="1" applyFont="1" applyFill="1" applyBorder="1" applyAlignment="1">
      <alignment horizontal="center" vertical="center" wrapText="1"/>
    </xf>
    <xf numFmtId="0" fontId="10" fillId="0" borderId="0" xfId="0" applyFont="1" applyAlignment="1">
      <alignment horizontal="left"/>
    </xf>
    <xf numFmtId="0" fontId="0" fillId="0" borderId="0" xfId="0" applyAlignment="1">
      <alignment horizontal="left" vertical="top" wrapText="1"/>
    </xf>
    <xf numFmtId="166" fontId="11" fillId="0" borderId="0" xfId="0" applyNumberFormat="1" applyFont="1" applyAlignment="1">
      <alignment horizontal="right"/>
    </xf>
    <xf numFmtId="1" fontId="4" fillId="0" borderId="0" xfId="0" applyNumberFormat="1" applyFont="1" applyFill="1"/>
    <xf numFmtId="0" fontId="10" fillId="10" borderId="0" xfId="0" applyFont="1" applyFill="1" applyAlignment="1">
      <alignment horizontal="center" vertical="center" wrapText="1"/>
    </xf>
    <xf numFmtId="3" fontId="10" fillId="10" borderId="0" xfId="0" applyNumberFormat="1" applyFont="1" applyFill="1"/>
    <xf numFmtId="0" fontId="0" fillId="0" borderId="0" xfId="0" applyAlignment="1" applyProtection="1">
      <alignment horizontal="center"/>
      <protection locked="0"/>
    </xf>
    <xf numFmtId="0" fontId="0" fillId="0" borderId="0" xfId="0" applyProtection="1">
      <protection locked="0"/>
    </xf>
    <xf numFmtId="0" fontId="0" fillId="0" borderId="1" xfId="0"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0" fillId="2" borderId="1" xfId="0" applyFill="1" applyBorder="1" applyAlignment="1" applyProtection="1">
      <alignment horizontal="center"/>
      <protection locked="0"/>
    </xf>
    <xf numFmtId="0" fontId="0" fillId="0" borderId="1" xfId="0" applyFont="1" applyBorder="1" applyAlignment="1" applyProtection="1">
      <alignment horizontal="center" vertical="center" wrapText="1"/>
      <protection locked="0"/>
    </xf>
    <xf numFmtId="1" fontId="0" fillId="0" borderId="1" xfId="0" applyNumberFormat="1" applyFont="1" applyBorder="1" applyAlignment="1" applyProtection="1">
      <alignment horizontal="center" vertical="center" wrapText="1"/>
      <protection locked="0"/>
    </xf>
    <xf numFmtId="0" fontId="0" fillId="2" borderId="0" xfId="0" applyFill="1" applyAlignment="1" applyProtection="1">
      <alignment horizontal="center"/>
      <protection locked="0"/>
    </xf>
    <xf numFmtId="0" fontId="15" fillId="0" borderId="1" xfId="0" applyFont="1" applyBorder="1" applyAlignment="1" applyProtection="1">
      <alignment horizontal="center"/>
    </xf>
    <xf numFmtId="0" fontId="27" fillId="0" borderId="1" xfId="0" applyFont="1" applyFill="1" applyBorder="1" applyAlignment="1">
      <alignment horizontal="center" vertical="center" wrapText="1"/>
    </xf>
    <xf numFmtId="0" fontId="0" fillId="0" borderId="0" xfId="0" applyAlignment="1">
      <alignment vertical="center" wrapText="1"/>
    </xf>
    <xf numFmtId="167" fontId="0" fillId="2" borderId="1" xfId="0" applyNumberFormat="1" applyFill="1" applyBorder="1" applyAlignment="1" applyProtection="1">
      <alignment horizontal="center"/>
      <protection locked="0"/>
    </xf>
    <xf numFmtId="165" fontId="8" fillId="0" borderId="0" xfId="0" applyNumberFormat="1" applyFont="1" applyFill="1" applyBorder="1" applyAlignment="1">
      <alignment horizontal="center"/>
    </xf>
    <xf numFmtId="3" fontId="0" fillId="7" borderId="0" xfId="0" applyNumberFormat="1" applyFill="1"/>
    <xf numFmtId="0" fontId="0" fillId="12" borderId="0" xfId="0" applyFill="1"/>
    <xf numFmtId="3" fontId="0" fillId="12" borderId="0" xfId="0" applyNumberFormat="1" applyFill="1"/>
    <xf numFmtId="0" fontId="0" fillId="12" borderId="1" xfId="0" applyFill="1" applyBorder="1"/>
    <xf numFmtId="3" fontId="0" fillId="12" borderId="1" xfId="0" applyNumberFormat="1" applyFill="1" applyBorder="1"/>
    <xf numFmtId="0" fontId="0" fillId="12" borderId="0" xfId="0" applyFill="1" applyAlignment="1">
      <alignment horizontal="center" vertical="center" wrapText="1"/>
    </xf>
    <xf numFmtId="0" fontId="0" fillId="0" borderId="1" xfId="0" applyFont="1" applyBorder="1" applyAlignment="1">
      <alignment horizontal="center" vertical="center"/>
    </xf>
    <xf numFmtId="2" fontId="8" fillId="0" borderId="0" xfId="0" applyNumberFormat="1" applyFont="1" applyFill="1" applyAlignment="1">
      <alignment horizontal="center"/>
    </xf>
    <xf numFmtId="2" fontId="4" fillId="6" borderId="1" xfId="0" applyNumberFormat="1" applyFont="1" applyFill="1" applyBorder="1" applyAlignment="1">
      <alignment horizontal="center" vertical="center"/>
    </xf>
    <xf numFmtId="1" fontId="0" fillId="6" borderId="0" xfId="0" applyNumberFormat="1" applyFill="1" applyBorder="1" applyAlignment="1">
      <alignment horizontal="center" vertical="center" wrapText="1"/>
    </xf>
    <xf numFmtId="0" fontId="0" fillId="6" borderId="0" xfId="0" applyFill="1" applyAlignment="1" applyProtection="1">
      <alignment horizontal="center"/>
      <protection locked="0"/>
    </xf>
    <xf numFmtId="9" fontId="4" fillId="2" borderId="2" xfId="0" applyNumberFormat="1" applyFont="1" applyFill="1" applyBorder="1" applyAlignment="1" applyProtection="1">
      <alignment horizontal="center"/>
      <protection locked="0"/>
    </xf>
    <xf numFmtId="0" fontId="4" fillId="0" borderId="0" xfId="0" applyFont="1" applyAlignment="1" applyProtection="1">
      <alignment horizontal="left"/>
    </xf>
    <xf numFmtId="0" fontId="0" fillId="0" borderId="0" xfId="0" applyAlignment="1" applyProtection="1">
      <alignment horizontal="center"/>
    </xf>
    <xf numFmtId="0" fontId="0" fillId="0" borderId="0" xfId="0" applyAlignment="1" applyProtection="1">
      <alignment horizontal="left"/>
    </xf>
    <xf numFmtId="0" fontId="0" fillId="2" borderId="1" xfId="0" applyFill="1" applyBorder="1" applyAlignment="1" applyProtection="1">
      <alignment horizontal="center"/>
    </xf>
    <xf numFmtId="0" fontId="4" fillId="0" borderId="0" xfId="0" applyFont="1" applyAlignment="1" applyProtection="1">
      <alignment horizontal="right"/>
    </xf>
    <xf numFmtId="0" fontId="4" fillId="0" borderId="0" xfId="0" applyFont="1" applyAlignment="1" applyProtection="1">
      <alignment horizontal="center"/>
    </xf>
    <xf numFmtId="0" fontId="0" fillId="0" borderId="0" xfId="0" applyFont="1" applyAlignment="1" applyProtection="1">
      <alignment horizontal="left"/>
    </xf>
    <xf numFmtId="164" fontId="0" fillId="0" borderId="1" xfId="0" applyNumberFormat="1" applyBorder="1" applyAlignment="1" applyProtection="1">
      <alignment horizontal="center"/>
    </xf>
    <xf numFmtId="0" fontId="16" fillId="0" borderId="0" xfId="0" applyFont="1" applyProtection="1"/>
    <xf numFmtId="0" fontId="4" fillId="2" borderId="1" xfId="0" applyFont="1" applyFill="1" applyBorder="1" applyAlignment="1" applyProtection="1">
      <alignment horizontal="center"/>
    </xf>
    <xf numFmtId="166" fontId="8" fillId="0" borderId="1" xfId="0" applyNumberFormat="1" applyFont="1" applyFill="1" applyBorder="1" applyAlignment="1" applyProtection="1">
      <alignment horizontal="center"/>
    </xf>
    <xf numFmtId="1" fontId="0" fillId="0" borderId="0" xfId="0" applyNumberFormat="1" applyAlignment="1" applyProtection="1">
      <alignment horizontal="center"/>
    </xf>
    <xf numFmtId="0" fontId="15" fillId="0" borderId="0" xfId="0" applyFont="1" applyBorder="1" applyAlignment="1" applyProtection="1">
      <alignment horizontal="center"/>
    </xf>
    <xf numFmtId="0" fontId="7" fillId="0" borderId="0" xfId="0" applyFont="1" applyAlignment="1" applyProtection="1">
      <alignment horizontal="left"/>
    </xf>
    <xf numFmtId="16" fontId="0" fillId="0" borderId="0" xfId="0" applyNumberFormat="1" applyProtection="1"/>
    <xf numFmtId="0" fontId="4" fillId="0" borderId="0" xfId="0" applyFont="1" applyAlignment="1" applyProtection="1"/>
    <xf numFmtId="0" fontId="4" fillId="0" borderId="0" xfId="0" applyFont="1" applyBorder="1" applyAlignment="1" applyProtection="1">
      <alignment horizontal="center"/>
    </xf>
    <xf numFmtId="0" fontId="0" fillId="0" borderId="0" xfId="0" applyBorder="1" applyProtection="1"/>
    <xf numFmtId="1" fontId="0" fillId="0" borderId="0" xfId="0" applyNumberFormat="1" applyFont="1" applyAlignment="1" applyProtection="1">
      <alignment horizontal="center" vertical="center" wrapText="1"/>
    </xf>
    <xf numFmtId="0" fontId="4" fillId="0" borderId="0" xfId="0" applyFont="1" applyProtection="1"/>
    <xf numFmtId="0" fontId="22" fillId="0" borderId="4" xfId="0" applyFont="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1"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17" fillId="0" borderId="1" xfId="0" applyNumberFormat="1"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2" fillId="0" borderId="0" xfId="0" applyFont="1" applyAlignment="1" applyProtection="1"/>
    <xf numFmtId="1" fontId="17" fillId="0" borderId="1" xfId="0" applyNumberFormat="1" applyFont="1" applyBorder="1" applyAlignment="1" applyProtection="1">
      <alignment horizontal="center"/>
    </xf>
    <xf numFmtId="0" fontId="0" fillId="0" borderId="1" xfId="0" applyBorder="1" applyAlignment="1" applyProtection="1">
      <alignment horizontal="center"/>
    </xf>
    <xf numFmtId="9" fontId="4" fillId="2" borderId="1" xfId="0" applyNumberFormat="1" applyFont="1" applyFill="1" applyBorder="1" applyAlignment="1" applyProtection="1">
      <alignment horizontal="center"/>
    </xf>
    <xf numFmtId="0" fontId="0" fillId="0" borderId="1" xfId="0" applyBorder="1" applyProtection="1"/>
    <xf numFmtId="166" fontId="0" fillId="0" borderId="0" xfId="0" applyNumberFormat="1" applyProtection="1"/>
    <xf numFmtId="1" fontId="0" fillId="0" borderId="1" xfId="0" applyNumberFormat="1" applyBorder="1" applyAlignment="1" applyProtection="1">
      <alignment horizontal="center"/>
    </xf>
    <xf numFmtId="164" fontId="0" fillId="0" borderId="0" xfId="0" applyNumberFormat="1" applyBorder="1" applyAlignment="1" applyProtection="1">
      <alignment horizontal="center"/>
    </xf>
    <xf numFmtId="0" fontId="4" fillId="0" borderId="4" xfId="0" applyFont="1" applyBorder="1" applyAlignment="1" applyProtection="1">
      <alignment horizontal="center" vertical="center" wrapText="1"/>
    </xf>
    <xf numFmtId="0" fontId="13" fillId="0" borderId="0" xfId="0" applyFont="1" applyAlignment="1" applyProtection="1">
      <alignment wrapText="1"/>
    </xf>
    <xf numFmtId="0" fontId="0" fillId="0" borderId="0" xfId="0" applyBorder="1" applyAlignment="1" applyProtection="1">
      <alignment horizontal="center" vertical="center"/>
    </xf>
    <xf numFmtId="164" fontId="0" fillId="0" borderId="0" xfId="0" applyNumberFormat="1" applyProtection="1"/>
    <xf numFmtId="166" fontId="0" fillId="0" borderId="0" xfId="0" applyNumberFormat="1" applyFont="1" applyProtection="1"/>
    <xf numFmtId="0" fontId="0" fillId="0" borderId="0" xfId="0" applyFont="1" applyProtection="1"/>
    <xf numFmtId="0" fontId="14" fillId="0" borderId="0" xfId="0" applyFont="1" applyProtection="1"/>
    <xf numFmtId="166" fontId="4" fillId="2" borderId="1" xfId="0" applyNumberFormat="1" applyFont="1" applyFill="1" applyBorder="1" applyAlignment="1" applyProtection="1">
      <alignment horizontal="center"/>
    </xf>
    <xf numFmtId="164" fontId="0" fillId="0" borderId="0" xfId="0" applyNumberFormat="1" applyAlignment="1" applyProtection="1">
      <alignment horizontal="center"/>
    </xf>
    <xf numFmtId="166" fontId="0" fillId="0" borderId="0" xfId="0" applyNumberFormat="1" applyAlignment="1" applyProtection="1">
      <alignment horizontal="center"/>
    </xf>
    <xf numFmtId="0" fontId="0" fillId="0" borderId="0" xfId="0" applyAlignment="1" applyProtection="1">
      <alignment vertical="center" wrapText="1"/>
    </xf>
    <xf numFmtId="0" fontId="16" fillId="0" borderId="0" xfId="0" applyFont="1" applyAlignment="1" applyProtection="1">
      <alignment vertical="center" wrapText="1"/>
    </xf>
    <xf numFmtId="0" fontId="0" fillId="0" borderId="0" xfId="0" applyAlignment="1" applyProtection="1">
      <alignment horizontal="left" vertical="center"/>
    </xf>
    <xf numFmtId="165" fontId="16" fillId="0" borderId="0" xfId="0" applyNumberFormat="1" applyFont="1" applyFill="1" applyBorder="1" applyAlignment="1" applyProtection="1">
      <alignment horizontal="right"/>
    </xf>
    <xf numFmtId="0" fontId="0" fillId="0" borderId="0" xfId="0" applyAlignment="1" applyProtection="1">
      <alignment horizontal="center" wrapText="1"/>
    </xf>
    <xf numFmtId="1" fontId="0" fillId="0" borderId="0" xfId="0" applyNumberFormat="1" applyProtection="1"/>
    <xf numFmtId="165" fontId="0" fillId="0" borderId="0" xfId="0" applyNumberFormat="1" applyProtection="1"/>
    <xf numFmtId="1" fontId="4" fillId="0" borderId="0" xfId="0" applyNumberFormat="1" applyFont="1" applyAlignment="1" applyProtection="1">
      <alignment horizontal="center"/>
    </xf>
    <xf numFmtId="1" fontId="4" fillId="0" borderId="18" xfId="0" applyNumberFormat="1" applyFont="1" applyBorder="1" applyAlignment="1" applyProtection="1">
      <alignment horizontal="center"/>
    </xf>
    <xf numFmtId="1" fontId="4" fillId="0" borderId="20" xfId="0" applyNumberFormat="1" applyFont="1" applyBorder="1" applyAlignment="1" applyProtection="1">
      <alignment horizontal="center"/>
    </xf>
    <xf numFmtId="0" fontId="0" fillId="0" borderId="19" xfId="0" applyBorder="1" applyProtection="1"/>
    <xf numFmtId="165" fontId="0" fillId="2" borderId="1" xfId="0" applyNumberFormat="1" applyFill="1" applyBorder="1" applyAlignment="1" applyProtection="1">
      <alignment horizontal="center"/>
      <protection locked="0"/>
    </xf>
    <xf numFmtId="167" fontId="0" fillId="2" borderId="1" xfId="0" applyNumberFormat="1" applyFill="1" applyBorder="1" applyProtection="1">
      <protection locked="0"/>
    </xf>
    <xf numFmtId="0" fontId="32" fillId="0" borderId="1" xfId="0" applyFont="1" applyBorder="1" applyAlignment="1">
      <alignment horizontal="center" vertical="center" wrapText="1"/>
    </xf>
    <xf numFmtId="1" fontId="30" fillId="0" borderId="1" xfId="0" applyNumberFormat="1" applyFont="1" applyBorder="1" applyAlignment="1">
      <alignment horizontal="center"/>
    </xf>
    <xf numFmtId="0" fontId="0" fillId="0" borderId="0" xfId="0" applyFill="1" applyAlignment="1">
      <alignment horizontal="left" vertical="center"/>
    </xf>
    <xf numFmtId="0" fontId="0" fillId="0" borderId="0" xfId="0" applyBorder="1" applyAlignment="1">
      <alignment vertical="top" wrapText="1"/>
    </xf>
    <xf numFmtId="0" fontId="5" fillId="0" borderId="0" xfId="0" applyFont="1" applyFill="1" applyBorder="1" applyAlignment="1">
      <alignment vertical="center"/>
    </xf>
    <xf numFmtId="1" fontId="0" fillId="9" borderId="1" xfId="0" applyNumberFormat="1" applyFill="1" applyBorder="1"/>
    <xf numFmtId="3" fontId="4" fillId="9" borderId="1" xfId="0" applyNumberFormat="1" applyFont="1" applyFill="1" applyBorder="1"/>
    <xf numFmtId="3" fontId="0" fillId="9" borderId="1" xfId="0" applyNumberFormat="1" applyFill="1" applyBorder="1"/>
    <xf numFmtId="3" fontId="0" fillId="0" borderId="1" xfId="0" applyNumberFormat="1" applyFill="1" applyBorder="1"/>
    <xf numFmtId="0" fontId="5" fillId="0" borderId="0" xfId="0" applyFont="1" applyBorder="1" applyAlignment="1"/>
    <xf numFmtId="0" fontId="23" fillId="0" borderId="0" xfId="0" applyFont="1" applyAlignment="1">
      <alignment vertical="top"/>
    </xf>
    <xf numFmtId="0" fontId="18" fillId="0" borderId="0" xfId="0" applyFont="1"/>
    <xf numFmtId="1" fontId="0" fillId="6" borderId="0" xfId="0" applyNumberFormat="1" applyFill="1"/>
    <xf numFmtId="1" fontId="4" fillId="6" borderId="0" xfId="0" applyNumberFormat="1" applyFont="1" applyFill="1"/>
    <xf numFmtId="0" fontId="4" fillId="6" borderId="0" xfId="0" applyFont="1" applyFill="1" applyAlignment="1">
      <alignment horizontal="center"/>
    </xf>
    <xf numFmtId="0" fontId="4" fillId="6" borderId="0" xfId="0" applyFont="1" applyFill="1" applyAlignment="1">
      <alignment horizontal="center" vertical="center" wrapText="1"/>
    </xf>
    <xf numFmtId="0" fontId="10" fillId="0" borderId="0" xfId="0" applyFont="1" applyFill="1" applyAlignment="1">
      <alignment horizontal="center" vertical="center" wrapText="1"/>
    </xf>
    <xf numFmtId="2" fontId="0" fillId="0" borderId="0" xfId="0" applyNumberFormat="1" applyFont="1"/>
    <xf numFmtId="9"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protection locked="0"/>
    </xf>
    <xf numFmtId="0" fontId="25"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right"/>
    </xf>
    <xf numFmtId="0" fontId="4" fillId="0" borderId="0" xfId="0" applyFont="1" applyAlignment="1">
      <alignment horizontal="left"/>
    </xf>
    <xf numFmtId="0" fontId="0" fillId="13" borderId="0" xfId="0" applyFill="1" applyAlignment="1">
      <alignment horizontal="center" vertical="center" wrapText="1"/>
    </xf>
    <xf numFmtId="0" fontId="0" fillId="0" borderId="0" xfId="0" applyAlignment="1" applyProtection="1">
      <protection locked="0"/>
    </xf>
    <xf numFmtId="164" fontId="0" fillId="0" borderId="1" xfId="0" applyNumberFormat="1" applyBorder="1"/>
    <xf numFmtId="0" fontId="0" fillId="11" borderId="0" xfId="0" applyFill="1" applyAlignment="1" applyProtection="1">
      <alignment horizontal="center"/>
      <protection locked="0"/>
    </xf>
    <xf numFmtId="0" fontId="0" fillId="11" borderId="0" xfId="0" applyFill="1" applyAlignment="1">
      <alignment horizontal="center" vertical="center" wrapText="1"/>
    </xf>
    <xf numFmtId="0" fontId="0" fillId="11" borderId="0" xfId="0" applyFill="1"/>
    <xf numFmtId="1" fontId="0" fillId="11" borderId="0" xfId="0" applyNumberFormat="1" applyFill="1"/>
    <xf numFmtId="3" fontId="0" fillId="0" borderId="0" xfId="0" applyNumberFormat="1" applyFill="1"/>
    <xf numFmtId="3" fontId="5" fillId="0" borderId="1" xfId="0" applyNumberFormat="1" applyFont="1" applyFill="1" applyBorder="1"/>
    <xf numFmtId="3" fontId="0" fillId="11" borderId="0" xfId="0" applyNumberFormat="1" applyFill="1"/>
    <xf numFmtId="0" fontId="9" fillId="7" borderId="0" xfId="0" applyFont="1" applyFill="1" applyAlignment="1" applyProtection="1">
      <alignment horizontal="center"/>
      <protection locked="0"/>
    </xf>
    <xf numFmtId="0" fontId="4" fillId="7" borderId="0" xfId="0" applyFont="1" applyFill="1" applyAlignment="1" applyProtection="1">
      <alignment horizontal="center"/>
      <protection locked="0"/>
    </xf>
    <xf numFmtId="0" fontId="0" fillId="0" borderId="0" xfId="0" applyAlignment="1" applyProtection="1">
      <alignment horizontal="right"/>
      <protection locked="0"/>
    </xf>
    <xf numFmtId="0" fontId="18" fillId="0" borderId="0" xfId="0" applyFont="1" applyAlignment="1" applyProtection="1">
      <alignment horizontal="right"/>
      <protection locked="0"/>
    </xf>
    <xf numFmtId="164" fontId="0" fillId="0" borderId="0" xfId="0" applyNumberFormat="1" applyFill="1"/>
    <xf numFmtId="164" fontId="0" fillId="0" borderId="1" xfId="0" applyNumberFormat="1" applyFont="1" applyFill="1" applyBorder="1" applyAlignment="1">
      <alignment horizontal="center"/>
    </xf>
    <xf numFmtId="0" fontId="5" fillId="0" borderId="0" xfId="0" applyFont="1" applyAlignment="1" applyProtection="1">
      <protection locked="0"/>
    </xf>
    <xf numFmtId="0" fontId="0" fillId="0" borderId="0" xfId="0" applyFill="1" applyAlignment="1" applyProtection="1">
      <alignment horizontal="center"/>
      <protection locked="0"/>
    </xf>
    <xf numFmtId="0" fontId="0" fillId="0" borderId="1" xfId="0" applyFill="1" applyBorder="1"/>
    <xf numFmtId="0" fontId="0" fillId="2" borderId="0" xfId="0" applyFill="1" applyAlignment="1">
      <alignment horizontal="center"/>
    </xf>
    <xf numFmtId="0" fontId="0" fillId="2" borderId="0" xfId="0" applyFill="1" applyAlignment="1">
      <alignment horizontal="right"/>
    </xf>
    <xf numFmtId="0" fontId="0" fillId="13" borderId="0" xfId="0" applyFill="1"/>
    <xf numFmtId="166" fontId="0" fillId="13" borderId="0" xfId="0" applyNumberFormat="1" applyFill="1"/>
    <xf numFmtId="2" fontId="0" fillId="13" borderId="0" xfId="0" applyNumberFormat="1" applyFill="1" applyAlignment="1">
      <alignment horizontal="right"/>
    </xf>
    <xf numFmtId="2" fontId="0" fillId="4" borderId="0" xfId="0" applyNumberFormat="1" applyFill="1" applyAlignment="1">
      <alignment horizontal="right"/>
    </xf>
    <xf numFmtId="0" fontId="4" fillId="2" borderId="1" xfId="0" applyFont="1" applyFill="1" applyBorder="1" applyAlignment="1">
      <alignment horizontal="center"/>
    </xf>
    <xf numFmtId="168" fontId="0" fillId="14" borderId="0" xfId="0" applyNumberFormat="1" applyFill="1" applyAlignment="1">
      <alignment horizontal="right"/>
    </xf>
    <xf numFmtId="169" fontId="0" fillId="0" borderId="0" xfId="0" applyNumberFormat="1"/>
    <xf numFmtId="0" fontId="4" fillId="10" borderId="0" xfId="0" applyFont="1" applyFill="1"/>
    <xf numFmtId="0" fontId="4" fillId="10" borderId="0" xfId="0" applyFont="1" applyFill="1" applyAlignment="1">
      <alignment horizontal="left" vertical="top" wrapText="1"/>
    </xf>
    <xf numFmtId="0" fontId="4" fillId="10" borderId="0" xfId="0" applyFont="1" applyFill="1" applyAlignment="1">
      <alignment horizontal="right"/>
    </xf>
    <xf numFmtId="165" fontId="4" fillId="10" borderId="0" xfId="0" applyNumberFormat="1" applyFont="1" applyFill="1"/>
    <xf numFmtId="165" fontId="4" fillId="10" borderId="0" xfId="0" applyNumberFormat="1" applyFont="1" applyFill="1" applyAlignment="1">
      <alignment wrapText="1"/>
    </xf>
    <xf numFmtId="165" fontId="4" fillId="10" borderId="0" xfId="0" applyNumberFormat="1" applyFont="1" applyFill="1" applyAlignment="1">
      <alignment horizontal="right"/>
    </xf>
    <xf numFmtId="0" fontId="40" fillId="0" borderId="0" xfId="0" applyFont="1" applyBorder="1" applyAlignment="1">
      <alignment vertical="center" textRotation="90" readingOrder="1"/>
    </xf>
    <xf numFmtId="0" fontId="0" fillId="6" borderId="0" xfId="0" applyFont="1" applyFill="1" applyAlignment="1" applyProtection="1">
      <alignment horizontal="center"/>
      <protection locked="0"/>
    </xf>
    <xf numFmtId="0" fontId="0" fillId="0" borderId="0" xfId="0" applyFill="1" applyAlignment="1" applyProtection="1">
      <protection locked="0"/>
    </xf>
    <xf numFmtId="0" fontId="4" fillId="0" borderId="0" xfId="0" applyFont="1" applyBorder="1" applyAlignment="1" applyProtection="1">
      <alignment horizontal="center" vertical="center" wrapText="1"/>
    </xf>
    <xf numFmtId="0" fontId="0" fillId="0" borderId="0" xfId="0" applyAlignment="1" applyProtection="1">
      <alignment horizontal="center"/>
    </xf>
    <xf numFmtId="0" fontId="4" fillId="0" borderId="0" xfId="0" applyFont="1" applyAlignment="1" applyProtection="1">
      <alignment horizontal="center" vertical="center" wrapText="1"/>
    </xf>
    <xf numFmtId="0" fontId="18" fillId="0" borderId="0" xfId="0" applyFont="1" applyProtection="1"/>
    <xf numFmtId="0" fontId="22" fillId="0" borderId="4" xfId="0" applyFont="1" applyBorder="1" applyAlignment="1" applyProtection="1">
      <alignment horizontal="left" vertical="center" wrapText="1"/>
    </xf>
    <xf numFmtId="0" fontId="0" fillId="0" borderId="1" xfId="0" applyBorder="1" applyAlignment="1" applyProtection="1">
      <alignment horizontal="center"/>
      <protection locked="0"/>
    </xf>
    <xf numFmtId="0" fontId="0" fillId="0" borderId="0" xfId="0" applyBorder="1" applyAlignment="1">
      <alignment horizontal="center"/>
    </xf>
    <xf numFmtId="0" fontId="10" fillId="0" borderId="0" xfId="0" applyFont="1" applyAlignment="1">
      <alignment horizontal="center"/>
    </xf>
    <xf numFmtId="0" fontId="0" fillId="0" borderId="0" xfId="0" applyAlignment="1">
      <alignment horizontal="center" wrapText="1"/>
    </xf>
    <xf numFmtId="165" fontId="0" fillId="0" borderId="1" xfId="0" applyNumberFormat="1" applyBorder="1" applyAlignment="1">
      <alignment horizontal="center"/>
    </xf>
    <xf numFmtId="0" fontId="9" fillId="0" borderId="0" xfId="0" applyFont="1" applyAlignment="1" applyProtection="1">
      <alignment horizontal="left"/>
    </xf>
    <xf numFmtId="1" fontId="0" fillId="0" borderId="0" xfId="0" applyNumberFormat="1" applyFill="1" applyBorder="1" applyAlignment="1">
      <alignment horizontal="center" vertical="center" wrapText="1"/>
    </xf>
    <xf numFmtId="0" fontId="5" fillId="0" borderId="0" xfId="0" applyFont="1" applyBorder="1" applyAlignment="1">
      <alignment vertical="top"/>
    </xf>
    <xf numFmtId="164" fontId="0" fillId="0" borderId="4" xfId="0" applyNumberFormat="1" applyBorder="1" applyAlignment="1" applyProtection="1">
      <alignment horizontal="center"/>
    </xf>
    <xf numFmtId="0" fontId="4" fillId="2" borderId="4" xfId="0" applyFont="1" applyFill="1" applyBorder="1" applyAlignment="1" applyProtection="1">
      <alignment horizontal="center"/>
      <protection locked="0"/>
    </xf>
    <xf numFmtId="1" fontId="0" fillId="0" borderId="4" xfId="0" applyNumberFormat="1" applyBorder="1" applyAlignment="1" applyProtection="1">
      <alignment horizontal="center"/>
    </xf>
    <xf numFmtId="1" fontId="17" fillId="0" borderId="4" xfId="0" applyNumberFormat="1" applyFont="1" applyBorder="1" applyAlignment="1" applyProtection="1">
      <alignment horizontal="center"/>
    </xf>
    <xf numFmtId="0" fontId="0" fillId="0" borderId="4" xfId="0" applyBorder="1" applyAlignment="1" applyProtection="1">
      <alignment horizontal="center"/>
    </xf>
    <xf numFmtId="0" fontId="0" fillId="0" borderId="4" xfId="0" applyBorder="1" applyProtection="1"/>
    <xf numFmtId="16" fontId="0" fillId="0" borderId="1" xfId="0" applyNumberFormat="1" applyBorder="1" applyAlignment="1" applyProtection="1">
      <alignment horizontal="center"/>
    </xf>
    <xf numFmtId="0" fontId="0" fillId="0" borderId="1" xfId="0" applyBorder="1" applyAlignment="1" applyProtection="1">
      <alignment horizontal="right"/>
      <protection locked="0"/>
    </xf>
    <xf numFmtId="1" fontId="30" fillId="0" borderId="1" xfId="0" applyNumberFormat="1" applyFont="1" applyBorder="1" applyAlignment="1">
      <alignment horizontal="center" vertical="center"/>
    </xf>
    <xf numFmtId="0" fontId="0" fillId="0" borderId="0" xfId="0" applyBorder="1" applyAlignment="1">
      <alignment vertical="center" wrapText="1"/>
    </xf>
    <xf numFmtId="0" fontId="7" fillId="0" borderId="0" xfId="0" applyFont="1" applyBorder="1" applyAlignment="1">
      <alignment horizontal="right" vertical="center" wrapText="1"/>
    </xf>
    <xf numFmtId="0" fontId="30" fillId="0" borderId="12" xfId="0" applyFont="1" applyBorder="1" applyAlignment="1">
      <alignment horizontal="right" vertical="center"/>
    </xf>
    <xf numFmtId="3" fontId="5" fillId="0" borderId="1" xfId="0" applyNumberFormat="1" applyFont="1" applyBorder="1" applyAlignment="1">
      <alignment horizontal="center" vertical="top"/>
    </xf>
    <xf numFmtId="2"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protection locked="0"/>
    </xf>
    <xf numFmtId="2" fontId="8" fillId="0" borderId="0" xfId="0" applyNumberFormat="1" applyFont="1" applyAlignment="1">
      <alignment horizontal="center" vertical="center"/>
    </xf>
    <xf numFmtId="9" fontId="8" fillId="0" borderId="0" xfId="0" applyNumberFormat="1" applyFont="1" applyAlignment="1">
      <alignment horizontal="center"/>
    </xf>
    <xf numFmtId="9" fontId="8" fillId="0" borderId="1" xfId="0" applyNumberFormat="1" applyFont="1" applyFill="1" applyBorder="1" applyAlignment="1" applyProtection="1">
      <alignment horizontal="center"/>
    </xf>
    <xf numFmtId="0" fontId="0" fillId="0" borderId="0" xfId="0" applyAlignment="1" applyProtection="1">
      <alignment horizontal="center"/>
    </xf>
    <xf numFmtId="0" fontId="0" fillId="0" borderId="0" xfId="0" applyBorder="1" applyAlignment="1" applyProtection="1">
      <alignment horizontal="center"/>
    </xf>
    <xf numFmtId="167" fontId="0" fillId="0" borderId="0" xfId="0" applyNumberFormat="1" applyProtection="1"/>
    <xf numFmtId="167" fontId="15" fillId="0" borderId="1" xfId="0" applyNumberFormat="1" applyFont="1" applyBorder="1" applyAlignment="1" applyProtection="1">
      <alignment horizontal="center"/>
    </xf>
    <xf numFmtId="167" fontId="15" fillId="0" borderId="0" xfId="0" applyNumberFormat="1" applyFont="1" applyBorder="1" applyAlignment="1" applyProtection="1">
      <alignment horizontal="center"/>
    </xf>
    <xf numFmtId="167" fontId="0" fillId="0" borderId="1" xfId="0" applyNumberFormat="1" applyBorder="1" applyAlignment="1" applyProtection="1">
      <alignment horizontal="center" vertical="center" wrapText="1"/>
    </xf>
    <xf numFmtId="167" fontId="4" fillId="2" borderId="1" xfId="0" applyNumberFormat="1" applyFont="1" applyFill="1" applyBorder="1" applyAlignment="1" applyProtection="1">
      <alignment horizontal="center"/>
      <protection locked="0"/>
    </xf>
    <xf numFmtId="167" fontId="4" fillId="2" borderId="4" xfId="0" applyNumberFormat="1" applyFont="1" applyFill="1" applyBorder="1" applyAlignment="1" applyProtection="1">
      <alignment horizontal="center"/>
      <protection locked="0"/>
    </xf>
    <xf numFmtId="167" fontId="0" fillId="0" borderId="1" xfId="0" applyNumberFormat="1" applyBorder="1" applyAlignment="1" applyProtection="1">
      <alignment horizontal="center"/>
      <protection locked="0"/>
    </xf>
    <xf numFmtId="167" fontId="0" fillId="0" borderId="0" xfId="0" applyNumberFormat="1" applyProtection="1">
      <protection locked="0"/>
    </xf>
    <xf numFmtId="167" fontId="0" fillId="0" borderId="1" xfId="0" applyNumberFormat="1" applyBorder="1" applyAlignment="1" applyProtection="1">
      <alignment horizontal="center" vertical="center" wrapText="1"/>
      <protection locked="0"/>
    </xf>
    <xf numFmtId="167" fontId="4" fillId="2" borderId="1" xfId="0" applyNumberFormat="1" applyFont="1" applyFill="1" applyBorder="1" applyAlignment="1" applyProtection="1">
      <alignment horizontal="center"/>
    </xf>
    <xf numFmtId="167" fontId="0" fillId="0" borderId="0" xfId="0" applyNumberFormat="1" applyBorder="1" applyProtection="1"/>
    <xf numFmtId="0" fontId="0" fillId="0" borderId="16" xfId="0" applyBorder="1" applyProtection="1"/>
    <xf numFmtId="0" fontId="0" fillId="0" borderId="16" xfId="0" applyBorder="1" applyAlignment="1" applyProtection="1">
      <alignment horizontal="center"/>
    </xf>
    <xf numFmtId="0" fontId="0" fillId="0" borderId="16" xfId="0" applyFont="1" applyBorder="1" applyAlignment="1" applyProtection="1">
      <alignment horizontal="center" vertical="center" wrapText="1"/>
    </xf>
    <xf numFmtId="9" fontId="4" fillId="6" borderId="1" xfId="0" applyNumberFormat="1"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1" xfId="0" applyFill="1" applyBorder="1" applyAlignment="1">
      <alignment horizontal="center"/>
    </xf>
    <xf numFmtId="0" fontId="0" fillId="0" borderId="1" xfId="0" applyBorder="1" applyAlignment="1" applyProtection="1">
      <alignment horizontal="right"/>
    </xf>
    <xf numFmtId="1" fontId="0" fillId="0" borderId="1" xfId="0" applyNumberFormat="1" applyBorder="1" applyProtection="1"/>
    <xf numFmtId="1" fontId="4" fillId="2" borderId="1" xfId="0" applyNumberFormat="1" applyFont="1" applyFill="1" applyBorder="1" applyProtection="1">
      <protection locked="0"/>
    </xf>
    <xf numFmtId="15" fontId="0" fillId="0" borderId="0" xfId="0" applyNumberFormat="1" applyProtection="1"/>
    <xf numFmtId="1" fontId="4" fillId="2" borderId="1" xfId="0" applyNumberFormat="1" applyFont="1" applyFill="1" applyBorder="1" applyAlignment="1" applyProtection="1">
      <alignment horizontal="center"/>
      <protection locked="0"/>
    </xf>
    <xf numFmtId="0" fontId="0" fillId="0" borderId="1" xfId="0" applyBorder="1" applyAlignment="1" applyProtection="1">
      <alignment horizontal="center"/>
    </xf>
    <xf numFmtId="164" fontId="0" fillId="0" borderId="0" xfId="0" applyNumberFormat="1"/>
    <xf numFmtId="170" fontId="0" fillId="0" borderId="0" xfId="0" applyNumberFormat="1" applyAlignment="1">
      <alignment wrapText="1"/>
    </xf>
    <xf numFmtId="1" fontId="0" fillId="0" borderId="0" xfId="0" applyNumberFormat="1" applyBorder="1" applyAlignment="1">
      <alignment vertical="center" wrapText="1"/>
    </xf>
    <xf numFmtId="0" fontId="0" fillId="0" borderId="1" xfId="0" applyBorder="1"/>
    <xf numFmtId="0" fontId="0" fillId="7" borderId="0" xfId="0" applyFill="1" applyAlignment="1">
      <alignment horizontal="center" vertical="center" wrapText="1"/>
    </xf>
    <xf numFmtId="3" fontId="0" fillId="3" borderId="0" xfId="0" applyNumberFormat="1" applyFill="1"/>
    <xf numFmtId="9" fontId="0" fillId="3" borderId="0" xfId="0" applyNumberFormat="1" applyFill="1"/>
    <xf numFmtId="9" fontId="0" fillId="10" borderId="0" xfId="0" applyNumberFormat="1" applyFill="1"/>
    <xf numFmtId="2" fontId="0" fillId="16" borderId="0" xfId="0" applyNumberFormat="1" applyFill="1"/>
    <xf numFmtId="166" fontId="0" fillId="16" borderId="0" xfId="0" applyNumberFormat="1" applyFill="1"/>
    <xf numFmtId="9" fontId="0" fillId="8" borderId="0" xfId="0" applyNumberFormat="1" applyFill="1"/>
    <xf numFmtId="166" fontId="0" fillId="16" borderId="0" xfId="0" applyNumberFormat="1" applyFill="1" applyAlignment="1">
      <alignment horizontal="right"/>
    </xf>
    <xf numFmtId="0" fontId="45" fillId="0" borderId="0" xfId="0" applyFont="1"/>
    <xf numFmtId="165" fontId="8" fillId="0" borderId="0" xfId="0" applyNumberFormat="1" applyFont="1" applyAlignment="1">
      <alignment horizontal="center" vertical="center"/>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1" xfId="0"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0" fillId="0" borderId="0" xfId="0" applyAlignment="1">
      <alignment horizontal="left" vertical="center"/>
    </xf>
    <xf numFmtId="165" fontId="4" fillId="10" borderId="1" xfId="0" applyNumberFormat="1" applyFont="1" applyFill="1"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4" fillId="0" borderId="0" xfId="0" applyFont="1" applyAlignment="1">
      <alignment horizontal="center"/>
    </xf>
    <xf numFmtId="0" fontId="0" fillId="6" borderId="0" xfId="0" applyFill="1" applyAlignment="1">
      <alignment horizontal="center"/>
    </xf>
    <xf numFmtId="0" fontId="0" fillId="0" borderId="0" xfId="0" applyAlignment="1">
      <alignment horizontal="center"/>
    </xf>
    <xf numFmtId="1" fontId="5" fillId="0" borderId="1" xfId="0" applyNumberFormat="1" applyFont="1" applyFill="1" applyBorder="1" applyAlignment="1">
      <alignment horizontal="center"/>
    </xf>
    <xf numFmtId="1" fontId="5" fillId="6" borderId="1" xfId="0" applyNumberFormat="1" applyFont="1" applyFill="1" applyBorder="1" applyAlignment="1">
      <alignment horizontal="center"/>
    </xf>
    <xf numFmtId="9" fontId="5" fillId="6" borderId="1" xfId="0" applyNumberFormat="1" applyFont="1" applyFill="1" applyBorder="1" applyAlignment="1">
      <alignment horizontal="right"/>
    </xf>
    <xf numFmtId="0" fontId="0" fillId="0" borderId="0" xfId="0" applyAlignment="1">
      <alignment horizontal="left" vertical="center"/>
    </xf>
    <xf numFmtId="0" fontId="4" fillId="7" borderId="1" xfId="0" applyFont="1" applyFill="1" applyBorder="1" applyAlignment="1">
      <alignment horizontal="center"/>
    </xf>
    <xf numFmtId="0" fontId="0" fillId="0" borderId="0" xfId="0" applyAlignment="1" applyProtection="1">
      <alignment horizontal="center"/>
    </xf>
    <xf numFmtId="0" fontId="31" fillId="0" borderId="0" xfId="0" applyFont="1" applyAlignment="1">
      <alignment vertical="center" textRotation="90"/>
    </xf>
    <xf numFmtId="3" fontId="0" fillId="0" borderId="0" xfId="0" applyNumberFormat="1" applyProtection="1"/>
    <xf numFmtId="0" fontId="16" fillId="0" borderId="0" xfId="0" applyFont="1" applyAlignment="1">
      <alignment horizontal="center"/>
    </xf>
    <xf numFmtId="0" fontId="0" fillId="0" borderId="0" xfId="0" applyAlignment="1">
      <alignment horizontal="left"/>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1" fontId="5" fillId="0" borderId="0" xfId="0" applyNumberFormat="1" applyFont="1" applyAlignment="1">
      <alignment horizontal="center"/>
    </xf>
    <xf numFmtId="1" fontId="4" fillId="0" borderId="0" xfId="0" applyNumberFormat="1" applyFont="1" applyAlignment="1">
      <alignment horizontal="center"/>
    </xf>
    <xf numFmtId="3" fontId="0" fillId="0" borderId="0" xfId="0" applyNumberFormat="1" applyAlignment="1">
      <alignment horizontal="center"/>
    </xf>
    <xf numFmtId="9" fontId="9" fillId="2" borderId="0" xfId="0" applyNumberFormat="1" applyFont="1" applyFill="1" applyBorder="1" applyAlignment="1">
      <alignment horizontal="center"/>
    </xf>
    <xf numFmtId="0" fontId="4" fillId="0" borderId="0" xfId="0" applyFont="1" applyBorder="1" applyAlignment="1">
      <alignment vertical="center"/>
    </xf>
    <xf numFmtId="0" fontId="0" fillId="0" borderId="0" xfId="0" applyFont="1" applyBorder="1" applyAlignment="1">
      <alignment vertical="center" wrapText="1"/>
    </xf>
    <xf numFmtId="0" fontId="7" fillId="0" borderId="1" xfId="0" applyFont="1" applyBorder="1"/>
    <xf numFmtId="0" fontId="31" fillId="0" borderId="0" xfId="0" applyFont="1" applyAlignment="1">
      <alignment horizontal="center" vertical="center" textRotation="90" wrapText="1"/>
    </xf>
    <xf numFmtId="0" fontId="31" fillId="0" borderId="0" xfId="0" applyFont="1" applyAlignment="1">
      <alignment horizontal="center" vertical="center" textRotation="90"/>
    </xf>
    <xf numFmtId="0" fontId="0" fillId="0" borderId="0" xfId="0" applyAlignment="1">
      <alignment horizontal="left"/>
    </xf>
    <xf numFmtId="0" fontId="0" fillId="0" borderId="0" xfId="0" applyAlignment="1">
      <alignment horizontal="left" vertical="top"/>
    </xf>
    <xf numFmtId="0" fontId="0" fillId="0" borderId="0" xfId="0" applyAlignment="1">
      <alignment vertical="center" textRotation="90"/>
    </xf>
    <xf numFmtId="0" fontId="5" fillId="6" borderId="1" xfId="0" applyFont="1" applyFill="1" applyBorder="1" applyAlignment="1" applyProtection="1">
      <alignment horizontal="center"/>
      <protection locked="0"/>
    </xf>
    <xf numFmtId="0" fontId="4" fillId="0" borderId="2" xfId="0" applyFont="1" applyBorder="1" applyAlignment="1">
      <alignment vertical="center"/>
    </xf>
    <xf numFmtId="0" fontId="0" fillId="0" borderId="0" xfId="0" applyFill="1" applyAlignment="1">
      <alignment vertical="center" textRotation="90"/>
    </xf>
    <xf numFmtId="0" fontId="0" fillId="2" borderId="9" xfId="0" applyFill="1" applyBorder="1"/>
    <xf numFmtId="171" fontId="0" fillId="0" borderId="1" xfId="0" applyNumberFormat="1" applyFont="1" applyBorder="1" applyAlignment="1">
      <alignment horizontal="center"/>
    </xf>
    <xf numFmtId="0" fontId="47" fillId="0" borderId="0" xfId="0" applyFont="1" applyBorder="1" applyAlignment="1">
      <alignment vertical="top" wrapText="1"/>
    </xf>
    <xf numFmtId="0" fontId="4" fillId="6" borderId="22" xfId="0" applyFont="1" applyFill="1" applyBorder="1" applyAlignment="1" applyProtection="1">
      <alignment horizontal="center" vertical="center"/>
      <protection locked="0"/>
    </xf>
    <xf numFmtId="0" fontId="16" fillId="0" borderId="1" xfId="0" applyFont="1" applyBorder="1"/>
    <xf numFmtId="0" fontId="8" fillId="6" borderId="1" xfId="0" applyFont="1" applyFill="1" applyBorder="1" applyAlignment="1" applyProtection="1">
      <alignment horizontal="center"/>
      <protection locked="0"/>
    </xf>
    <xf numFmtId="1" fontId="16" fillId="0" borderId="1" xfId="0" applyNumberFormat="1" applyFont="1" applyBorder="1" applyAlignment="1">
      <alignment horizontal="center"/>
    </xf>
    <xf numFmtId="1" fontId="16" fillId="0" borderId="2" xfId="0" applyNumberFormat="1" applyFont="1" applyBorder="1" applyAlignment="1">
      <alignment horizontal="center"/>
    </xf>
    <xf numFmtId="0" fontId="8" fillId="0" borderId="6" xfId="0" applyFont="1" applyBorder="1" applyAlignment="1">
      <alignment horizontal="center"/>
    </xf>
    <xf numFmtId="0" fontId="8" fillId="0" borderId="1" xfId="0" applyFont="1" applyBorder="1" applyAlignment="1">
      <alignment horizontal="center"/>
    </xf>
    <xf numFmtId="3" fontId="48" fillId="0" borderId="1" xfId="0" applyNumberFormat="1" applyFont="1" applyBorder="1" applyAlignment="1">
      <alignment horizontal="center" shrinkToFit="1"/>
    </xf>
    <xf numFmtId="3" fontId="48" fillId="0" borderId="2" xfId="0" applyNumberFormat="1" applyFont="1" applyBorder="1" applyAlignment="1">
      <alignment horizontal="center" shrinkToFit="1"/>
    </xf>
    <xf numFmtId="9" fontId="46" fillId="0" borderId="1" xfId="0" applyNumberFormat="1" applyFont="1" applyBorder="1" applyAlignment="1">
      <alignment horizontal="center" shrinkToFit="1"/>
    </xf>
    <xf numFmtId="9" fontId="46" fillId="0" borderId="2" xfId="0" applyNumberFormat="1" applyFont="1" applyBorder="1" applyAlignment="1">
      <alignment horizontal="center" shrinkToFit="1"/>
    </xf>
    <xf numFmtId="0" fontId="41" fillId="0" borderId="0" xfId="0" applyFont="1" applyBorder="1" applyAlignment="1">
      <alignment horizontal="center" vertical="center" textRotation="90" readingOrder="1"/>
    </xf>
    <xf numFmtId="0" fontId="0" fillId="0" borderId="0" xfId="0" applyFont="1" applyBorder="1" applyAlignment="1">
      <alignment horizontal="left" vertical="center" wrapText="1"/>
    </xf>
    <xf numFmtId="0" fontId="31" fillId="0" borderId="0" xfId="0" applyFont="1" applyAlignment="1">
      <alignment vertical="center" textRotation="90" wrapText="1"/>
    </xf>
    <xf numFmtId="0" fontId="0" fillId="0" borderId="9" xfId="0" applyBorder="1" applyAlignment="1">
      <alignment horizontal="left" vertical="top"/>
    </xf>
    <xf numFmtId="0" fontId="4" fillId="0" borderId="3" xfId="0" applyFont="1" applyFill="1" applyBorder="1" applyAlignment="1" applyProtection="1">
      <alignment horizontal="center" vertical="center"/>
      <protection locked="0"/>
    </xf>
    <xf numFmtId="0" fontId="4" fillId="0" borderId="8" xfId="0" applyFont="1" applyBorder="1" applyAlignment="1"/>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pplyProtection="1">
      <alignment horizontal="center"/>
    </xf>
    <xf numFmtId="0" fontId="4" fillId="0" borderId="3" xfId="0" applyFont="1" applyFill="1" applyBorder="1" applyAlignment="1" applyProtection="1">
      <alignment horizontal="center"/>
    </xf>
    <xf numFmtId="0" fontId="0" fillId="6" borderId="0" xfId="0" applyFill="1" applyAlignment="1">
      <alignment horizontal="center"/>
    </xf>
    <xf numFmtId="0" fontId="0" fillId="0" borderId="0" xfId="0" applyAlignment="1">
      <alignment horizontal="center"/>
    </xf>
    <xf numFmtId="0" fontId="0" fillId="0" borderId="0" xfId="0" applyFill="1" applyAlignment="1">
      <alignment horizontal="center" vertic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1" xfId="0"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0" borderId="1" xfId="0" applyBorder="1" applyAlignment="1" applyProtection="1">
      <alignment horizontal="center"/>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vertical="center" wrapText="1"/>
    </xf>
    <xf numFmtId="0" fontId="0" fillId="0" borderId="0" xfId="0" applyBorder="1" applyAlignment="1">
      <alignment horizontal="left"/>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 xfId="0" applyBorder="1" applyAlignment="1">
      <alignment horizontal="left" vertical="center" wrapText="1"/>
    </xf>
    <xf numFmtId="0" fontId="4" fillId="0" borderId="1" xfId="0" applyFont="1" applyBorder="1" applyAlignment="1">
      <alignment horizontal="center" vertical="center"/>
    </xf>
    <xf numFmtId="0" fontId="4" fillId="10" borderId="9" xfId="0" applyFont="1" applyFill="1"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4" fillId="6" borderId="2" xfId="0" applyFont="1" applyFill="1" applyBorder="1" applyAlignment="1" applyProtection="1">
      <alignment horizontal="center"/>
      <protection locked="0"/>
    </xf>
    <xf numFmtId="0" fontId="4" fillId="6" borderId="3" xfId="0" applyFont="1" applyFill="1" applyBorder="1" applyAlignment="1" applyProtection="1">
      <alignment horizontal="center"/>
      <protection locked="0"/>
    </xf>
    <xf numFmtId="0" fontId="4" fillId="10" borderId="2" xfId="0" applyFont="1" applyFill="1" applyBorder="1" applyAlignment="1">
      <alignment horizontal="center"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 xfId="0" applyBorder="1" applyAlignment="1">
      <alignment horizontal="center"/>
    </xf>
    <xf numFmtId="0" fontId="24" fillId="0" borderId="12" xfId="0" applyFont="1" applyBorder="1" applyAlignment="1">
      <alignment horizontal="left" vertical="center"/>
    </xf>
    <xf numFmtId="0" fontId="24" fillId="0" borderId="15" xfId="0" applyFont="1" applyBorder="1" applyAlignment="1">
      <alignment horizontal="left" vertical="center"/>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4" borderId="0" xfId="0" applyFill="1" applyAlignment="1">
      <alignment horizontal="center" vertical="center" wrapText="1"/>
    </xf>
    <xf numFmtId="0" fontId="0" fillId="5" borderId="0" xfId="0" applyFill="1" applyAlignment="1">
      <alignment horizontal="center" vertical="center"/>
    </xf>
    <xf numFmtId="0" fontId="0" fillId="10" borderId="0" xfId="0" applyFill="1" applyAlignment="1">
      <alignment horizontal="center" vertical="center" wrapText="1"/>
    </xf>
    <xf numFmtId="0" fontId="0" fillId="0" borderId="0" xfId="0" applyAlignment="1">
      <alignment horizontal="left" wrapText="1"/>
    </xf>
    <xf numFmtId="0" fontId="4" fillId="10" borderId="0" xfId="0" applyFont="1" applyFill="1" applyAlignment="1">
      <alignment horizontal="center" vertical="center" wrapText="1"/>
    </xf>
    <xf numFmtId="0" fontId="16" fillId="0" borderId="1" xfId="0" applyFont="1" applyBorder="1" applyAlignment="1">
      <alignment horizontal="left"/>
    </xf>
    <xf numFmtId="0" fontId="0" fillId="0" borderId="9" xfId="0" applyBorder="1" applyAlignment="1">
      <alignment horizontal="left" vertical="top"/>
    </xf>
    <xf numFmtId="0" fontId="0" fillId="0" borderId="9" xfId="0" applyBorder="1" applyAlignment="1">
      <alignment horizontal="left" vertical="top" wrapText="1"/>
    </xf>
    <xf numFmtId="0" fontId="8" fillId="0" borderId="1" xfId="0" applyFont="1" applyBorder="1" applyAlignment="1">
      <alignment horizontal="center"/>
    </xf>
    <xf numFmtId="0" fontId="4" fillId="0" borderId="9" xfId="0" applyFont="1" applyBorder="1" applyAlignment="1">
      <alignment horizontal="center" vertical="center"/>
    </xf>
    <xf numFmtId="0" fontId="4" fillId="0" borderId="9" xfId="0" applyFont="1" applyBorder="1" applyAlignment="1">
      <alignment horizontal="center" vertical="center" wrapText="1"/>
    </xf>
    <xf numFmtId="0" fontId="0" fillId="0" borderId="9" xfId="0" applyBorder="1" applyAlignment="1">
      <alignment horizontal="center" vertical="top" wrapText="1"/>
    </xf>
    <xf numFmtId="0" fontId="4" fillId="6" borderId="9" xfId="0" applyFont="1" applyFill="1" applyBorder="1" applyAlignment="1" applyProtection="1">
      <alignment horizontal="center"/>
      <protection locked="0"/>
    </xf>
    <xf numFmtId="0" fontId="4" fillId="0" borderId="2" xfId="0" applyFont="1" applyFill="1" applyBorder="1" applyAlignment="1" applyProtection="1">
      <alignment horizontal="right"/>
    </xf>
    <xf numFmtId="0" fontId="4" fillId="0" borderId="3" xfId="0" applyFont="1" applyFill="1" applyBorder="1" applyAlignment="1" applyProtection="1">
      <alignment horizontal="right"/>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wrapText="1"/>
    </xf>
    <xf numFmtId="9" fontId="4" fillId="0" borderId="9" xfId="0" applyNumberFormat="1" applyFont="1" applyBorder="1" applyAlignment="1">
      <alignment horizontal="center" vertical="center"/>
    </xf>
    <xf numFmtId="0" fontId="4" fillId="0" borderId="1" xfId="0" applyFont="1" applyBorder="1" applyAlignment="1">
      <alignment horizontal="center"/>
    </xf>
    <xf numFmtId="0" fontId="0" fillId="0" borderId="0" xfId="0" applyAlignment="1">
      <alignment horizontal="left"/>
    </xf>
    <xf numFmtId="0" fontId="0" fillId="0" borderId="25" xfId="0" applyBorder="1" applyAlignment="1">
      <alignment horizontal="center" vertical="top"/>
    </xf>
    <xf numFmtId="0" fontId="0" fillId="0" borderId="26" xfId="0" applyBorder="1" applyAlignment="1">
      <alignment horizontal="center" vertical="top"/>
    </xf>
    <xf numFmtId="0" fontId="0" fillId="0" borderId="27" xfId="0" applyBorder="1" applyAlignment="1">
      <alignment horizontal="center" vertical="top"/>
    </xf>
    <xf numFmtId="0" fontId="0" fillId="0" borderId="28" xfId="0" applyBorder="1" applyAlignment="1">
      <alignment horizontal="left" vertical="top" wrapText="1"/>
    </xf>
    <xf numFmtId="0" fontId="0" fillId="0" borderId="24" xfId="0" applyBorder="1" applyAlignment="1">
      <alignment horizontal="left" vertical="top" wrapText="1"/>
    </xf>
    <xf numFmtId="0" fontId="0" fillId="0" borderId="29" xfId="0" applyBorder="1" applyAlignment="1">
      <alignment horizontal="left" vertical="top" wrapText="1"/>
    </xf>
    <xf numFmtId="0" fontId="0" fillId="0" borderId="23" xfId="0" applyBorder="1" applyAlignment="1">
      <alignment horizontal="left" vertical="top" wrapText="1"/>
    </xf>
    <xf numFmtId="0" fontId="0" fillId="0" borderId="21" xfId="0" applyBorder="1" applyAlignment="1">
      <alignment horizontal="left" vertical="top" wrapText="1"/>
    </xf>
    <xf numFmtId="0" fontId="0" fillId="0" borderId="30" xfId="0" applyBorder="1" applyAlignment="1">
      <alignment horizontal="left" vertical="top" wrapText="1"/>
    </xf>
    <xf numFmtId="0" fontId="35" fillId="0" borderId="0" xfId="0" applyFont="1" applyBorder="1" applyAlignment="1">
      <alignment horizontal="right" vertical="center"/>
    </xf>
    <xf numFmtId="0" fontId="35" fillId="0" borderId="7" xfId="0" applyFont="1" applyBorder="1" applyAlignment="1">
      <alignment horizontal="right" vertical="center"/>
    </xf>
    <xf numFmtId="165" fontId="4" fillId="10" borderId="1" xfId="0" applyNumberFormat="1" applyFont="1" applyFill="1" applyBorder="1" applyAlignment="1">
      <alignment horizontal="center"/>
    </xf>
    <xf numFmtId="0" fontId="3" fillId="0" borderId="0" xfId="0" applyFont="1" applyAlignment="1">
      <alignment horizontal="right" vertical="center"/>
    </xf>
    <xf numFmtId="0" fontId="3" fillId="0" borderId="7" xfId="0" applyFont="1" applyBorder="1" applyAlignment="1">
      <alignment horizontal="right" vertical="center"/>
    </xf>
    <xf numFmtId="0" fontId="4" fillId="10" borderId="2" xfId="0" applyFont="1" applyFill="1" applyBorder="1" applyAlignment="1">
      <alignment horizontal="center"/>
    </xf>
    <xf numFmtId="0" fontId="4" fillId="10" borderId="3" xfId="0" applyFont="1" applyFill="1" applyBorder="1" applyAlignment="1">
      <alignment horizontal="center"/>
    </xf>
    <xf numFmtId="0" fontId="4" fillId="0" borderId="0" xfId="0" applyFont="1" applyAlignment="1">
      <alignment horizontal="center"/>
    </xf>
    <xf numFmtId="0" fontId="0" fillId="0" borderId="7" xfId="0" applyBorder="1" applyAlignment="1" applyProtection="1">
      <alignment horizontal="center"/>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18" fillId="15" borderId="9" xfId="0" applyFont="1" applyFill="1" applyBorder="1" applyAlignment="1" applyProtection="1">
      <alignment horizontal="left"/>
    </xf>
    <xf numFmtId="0" fontId="0" fillId="0" borderId="0"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7" xfId="0" applyBorder="1" applyAlignment="1" applyProtection="1">
      <alignment horizontal="center" vertical="center"/>
    </xf>
    <xf numFmtId="0" fontId="4" fillId="0" borderId="5"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14" fillId="0" borderId="0" xfId="0" applyFont="1" applyAlignment="1" applyProtection="1">
      <alignment horizontal="center"/>
    </xf>
    <xf numFmtId="0" fontId="0" fillId="0" borderId="0" xfId="0" applyAlignment="1" applyProtection="1">
      <alignment horizontal="center"/>
    </xf>
    <xf numFmtId="0" fontId="0" fillId="0" borderId="8" xfId="0" applyBorder="1" applyAlignment="1" applyProtection="1">
      <alignment horizontal="center"/>
    </xf>
    <xf numFmtId="0" fontId="0" fillId="0" borderId="0" xfId="0" applyBorder="1" applyAlignment="1" applyProtection="1">
      <alignment horizontal="center"/>
    </xf>
    <xf numFmtId="0" fontId="4" fillId="0" borderId="13" xfId="0" applyFont="1" applyBorder="1" applyAlignment="1" applyProtection="1">
      <alignment horizontal="center" vertical="top" wrapText="1"/>
    </xf>
    <xf numFmtId="0" fontId="4" fillId="0" borderId="0" xfId="0" applyFont="1" applyAlignment="1" applyProtection="1">
      <alignment horizontal="center" vertical="top" wrapText="1"/>
    </xf>
    <xf numFmtId="0" fontId="0" fillId="0" borderId="13" xfId="0" applyBorder="1" applyAlignment="1" applyProtection="1">
      <alignment horizontal="center" vertical="top" wrapText="1"/>
    </xf>
    <xf numFmtId="0" fontId="0" fillId="0" borderId="0" xfId="0" applyAlignment="1" applyProtection="1">
      <alignment horizontal="center" vertical="top" wrapText="1"/>
    </xf>
    <xf numFmtId="0" fontId="29" fillId="0" borderId="0" xfId="0" applyFont="1" applyAlignment="1" applyProtection="1">
      <alignment horizontal="center" vertical="top" wrapText="1"/>
    </xf>
    <xf numFmtId="0" fontId="4" fillId="0" borderId="0" xfId="0" applyFont="1" applyBorder="1" applyAlignment="1" applyProtection="1">
      <alignment horizontal="center" vertical="top" wrapText="1"/>
    </xf>
    <xf numFmtId="0" fontId="0" fillId="0" borderId="1" xfId="0" applyBorder="1" applyAlignment="1" applyProtection="1">
      <alignment horizontal="center"/>
    </xf>
    <xf numFmtId="0" fontId="0" fillId="0" borderId="0" xfId="0" applyAlignment="1">
      <alignment horizontal="left" vertical="top" wrapText="1"/>
    </xf>
  </cellXfs>
  <cellStyles count="5">
    <cellStyle name="Comma" xfId="4" builtinId="3"/>
    <cellStyle name="Normal" xfId="0" builtinId="0"/>
    <cellStyle name="Normal 2" xfId="1"/>
    <cellStyle name="Normal 3" xfId="2"/>
    <cellStyle name="Normal 4" xfId="3"/>
  </cellStyles>
  <dxfs count="0"/>
  <tableStyles count="0" defaultTableStyle="TableStyleMedium2" defaultPivotStyle="PivotStyleLight16"/>
  <colors>
    <mruColors>
      <color rgb="FF00823B"/>
      <color rgb="FFB3E971"/>
      <color rgb="FFFF00FF"/>
      <color rgb="FFFFABFF"/>
      <color rgb="FFFF7DFF"/>
      <color rgb="FF69D8FF"/>
      <color rgb="FFFF8B8B"/>
      <color rgb="FFFFE59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4E-2"/>
          <c:y val="3.2299938581372242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18.116710184682088</c:v>
                </c:pt>
                <c:pt idx="2">
                  <c:v>20.596310146589609</c:v>
                </c:pt>
                <c:pt idx="3">
                  <c:v>30.723543939120155</c:v>
                </c:pt>
                <c:pt idx="4">
                  <c:v>41.66216483334383</c:v>
                </c:pt>
                <c:pt idx="5">
                  <c:v>67.043442375650272</c:v>
                </c:pt>
                <c:pt idx="6">
                  <c:v>97.408429110409259</c:v>
                </c:pt>
                <c:pt idx="7">
                  <c:v>148.46842511372606</c:v>
                </c:pt>
                <c:pt idx="8">
                  <c:v>223.57015375049895</c:v>
                </c:pt>
                <c:pt idx="9">
                  <c:v>323.96295867443052</c:v>
                </c:pt>
                <c:pt idx="10">
                  <c:v>479.95631893000251</c:v>
                </c:pt>
                <c:pt idx="11">
                  <c:v>667.93189105560486</c:v>
                </c:pt>
                <c:pt idx="12">
                  <c:v>905.61609504744797</c:v>
                </c:pt>
                <c:pt idx="13">
                  <c:v>1177.7132476128613</c:v>
                </c:pt>
                <c:pt idx="14">
                  <c:v>1523.3139918881263</c:v>
                </c:pt>
                <c:pt idx="15">
                  <c:v>2013.2439080274801</c:v>
                </c:pt>
                <c:pt idx="16">
                  <c:v>324.00529624766062</c:v>
                </c:pt>
                <c:pt idx="17">
                  <c:v>696.7810661326746</c:v>
                </c:pt>
                <c:pt idx="18">
                  <c:v>944.14037187314648</c:v>
                </c:pt>
                <c:pt idx="19">
                  <c:v>722.1914966951191</c:v>
                </c:pt>
                <c:pt idx="20">
                  <c:v>0</c:v>
                </c:pt>
                <c:pt idx="21">
                  <c:v>0</c:v>
                </c:pt>
                <c:pt idx="22">
                  <c:v>0</c:v>
                </c:pt>
                <c:pt idx="23">
                  <c:v>0</c:v>
                </c:pt>
                <c:pt idx="24">
                  <c:v>0</c:v>
                </c:pt>
              </c:numCache>
            </c:numRef>
          </c:val>
        </c:ser>
        <c:dLbls>
          <c:showLegendKey val="0"/>
          <c:showVal val="0"/>
          <c:showCatName val="0"/>
          <c:showSerName val="0"/>
          <c:showPercent val="0"/>
          <c:showBubbleSize val="0"/>
        </c:dLbls>
        <c:axId val="283950464"/>
        <c:axId val="285688960"/>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dLbls>
          <c:showLegendKey val="0"/>
          <c:showVal val="0"/>
          <c:showCatName val="0"/>
          <c:showSerName val="0"/>
          <c:showPercent val="0"/>
          <c:showBubbleSize val="0"/>
        </c:dLbls>
        <c:axId val="285709440"/>
        <c:axId val="285690880"/>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79E-2"/>
                  <c:y val="2.56703214158884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1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50</c:v>
                </c:pt>
                <c:pt idx="1">
                  <c:v>46.330041655314922</c:v>
                </c:pt>
                <c:pt idx="2">
                  <c:v>50.160541730912875</c:v>
                </c:pt>
                <c:pt idx="3">
                  <c:v>62.210328818390686</c:v>
                </c:pt>
                <c:pt idx="4">
                  <c:v>79.337476132399999</c:v>
                </c:pt>
                <c:pt idx="5">
                  <c:v>103.6593707368915</c:v>
                </c:pt>
                <c:pt idx="6">
                  <c:v>145.40828255122503</c:v>
                </c:pt>
                <c:pt idx="7">
                  <c:v>226.46181367933914</c:v>
                </c:pt>
                <c:pt idx="8">
                  <c:v>356.69632010855145</c:v>
                </c:pt>
                <c:pt idx="9">
                  <c:v>555.40229680478683</c:v>
                </c:pt>
                <c:pt idx="10">
                  <c:v>837.45984470327062</c:v>
                </c:pt>
                <c:pt idx="11">
                  <c:v>1245.2249143903894</c:v>
                </c:pt>
                <c:pt idx="12">
                  <c:v>1778.8425606296521</c:v>
                </c:pt>
                <c:pt idx="13">
                  <c:v>2484.2185988026808</c:v>
                </c:pt>
                <c:pt idx="14">
                  <c:v>3363.5489615802444</c:v>
                </c:pt>
                <c:pt idx="15">
                  <c:v>4593.5935010394842</c:v>
                </c:pt>
                <c:pt idx="16">
                  <c:v>620.21658768332782</c:v>
                </c:pt>
                <c:pt idx="17">
                  <c:v>1258.3250026217659</c:v>
                </c:pt>
                <c:pt idx="18">
                  <c:v>1990.7700168033994</c:v>
                </c:pt>
                <c:pt idx="19">
                  <c:v>2483.6918546565685</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20</c:v>
                </c:pt>
                <c:pt idx="11">
                  <c:v>30</c:v>
                </c:pt>
                <c:pt idx="12">
                  <c:v>45</c:v>
                </c:pt>
                <c:pt idx="13">
                  <c:v>75</c:v>
                </c:pt>
                <c:pt idx="14">
                  <c:v>200</c:v>
                </c:pt>
                <c:pt idx="15">
                  <c:v>400</c:v>
                </c:pt>
                <c:pt idx="16">
                  <c:v>500</c:v>
                </c:pt>
                <c:pt idx="17">
                  <c:v>400</c:v>
                </c:pt>
                <c:pt idx="18">
                  <c:v>200</c:v>
                </c:pt>
                <c:pt idx="19">
                  <c:v>100</c:v>
                </c:pt>
                <c:pt idx="20">
                  <c:v>30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83950464"/>
        <c:axId val="285688960"/>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0.984375</c:v>
                </c:pt>
                <c:pt idx="1">
                  <c:v>0.55057608541591319</c:v>
                </c:pt>
                <c:pt idx="2">
                  <c:v>0.57728566813075266</c:v>
                </c:pt>
                <c:pt idx="3">
                  <c:v>0.70315491641159555</c:v>
                </c:pt>
                <c:pt idx="4">
                  <c:v>0.84038700157409219</c:v>
                </c:pt>
                <c:pt idx="5">
                  <c:v>0.95015192641947144</c:v>
                </c:pt>
                <c:pt idx="6">
                  <c:v>1.0259508875187606</c:v>
                </c:pt>
                <c:pt idx="7">
                  <c:v>0.96057094334161486</c:v>
                </c:pt>
                <c:pt idx="8">
                  <c:v>1.2710631199841067</c:v>
                </c:pt>
                <c:pt idx="9">
                  <c:v>1.7456396524463247</c:v>
                </c:pt>
                <c:pt idx="10">
                  <c:v>2.2980357674402927</c:v>
                </c:pt>
                <c:pt idx="11">
                  <c:v>3.2966410365177397</c:v>
                </c:pt>
                <c:pt idx="12">
                  <c:v>4.6260558178815501</c:v>
                </c:pt>
                <c:pt idx="13">
                  <c:v>6.7042114797766708</c:v>
                </c:pt>
                <c:pt idx="14">
                  <c:v>9.3738116225378718</c:v>
                </c:pt>
                <c:pt idx="15">
                  <c:v>14.504575730995047</c:v>
                </c:pt>
                <c:pt idx="16">
                  <c:v>2.2588167269515695</c:v>
                </c:pt>
                <c:pt idx="17">
                  <c:v>4.9085977264090452</c:v>
                </c:pt>
                <c:pt idx="18">
                  <c:v>10.006538529525031</c:v>
                </c:pt>
                <c:pt idx="19">
                  <c:v>19.032543249172036</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version'!$C$20:$Z$20</c:f>
              <c:numCache>
                <c:formatCode>0%</c:formatCode>
                <c:ptCount val="24"/>
                <c:pt idx="15">
                  <c:v>0.9</c:v>
                </c:pt>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1.1208891600507059E-2</c:v>
                </c:pt>
              </c:numCache>
            </c:numRef>
          </c:val>
          <c:smooth val="0"/>
        </c:ser>
        <c:dLbls>
          <c:showLegendKey val="0"/>
          <c:showVal val="0"/>
          <c:showCatName val="0"/>
          <c:showSerName val="0"/>
          <c:showPercent val="0"/>
          <c:showBubbleSize val="0"/>
        </c:dLbls>
        <c:marker val="1"/>
        <c:smooth val="0"/>
        <c:axId val="285709440"/>
        <c:axId val="285690880"/>
      </c:lineChart>
      <c:dateAx>
        <c:axId val="283950464"/>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285688960"/>
        <c:crosses val="autoZero"/>
        <c:auto val="1"/>
        <c:lblOffset val="100"/>
        <c:baseTimeUnit val="days"/>
        <c:majorUnit val="1"/>
        <c:majorTimeUnit val="months"/>
        <c:minorUnit val="1"/>
        <c:minorTimeUnit val="months"/>
      </c:dateAx>
      <c:valAx>
        <c:axId val="285688960"/>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53E-3"/>
              <c:y val="3.338559727725511E-3"/>
            </c:manualLayout>
          </c:layout>
          <c:overlay val="0"/>
        </c:title>
        <c:numFmt formatCode="#,##0" sourceLinked="0"/>
        <c:majorTickMark val="out"/>
        <c:minorTickMark val="none"/>
        <c:tickLblPos val="nextTo"/>
        <c:txPr>
          <a:bodyPr/>
          <a:lstStyle/>
          <a:p>
            <a:pPr>
              <a:defRPr sz="900"/>
            </a:pPr>
            <a:endParaRPr lang="en-US"/>
          </a:p>
        </c:txPr>
        <c:crossAx val="283950464"/>
        <c:crossesAt val="40544"/>
        <c:crossBetween val="midCat"/>
      </c:valAx>
      <c:valAx>
        <c:axId val="285690880"/>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29"/>
              <c:y val="6.0772618249827819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85709440"/>
        <c:crosses val="max"/>
        <c:crossBetween val="between"/>
      </c:valAx>
      <c:dateAx>
        <c:axId val="285709440"/>
        <c:scaling>
          <c:orientation val="minMax"/>
        </c:scaling>
        <c:delete val="1"/>
        <c:axPos val="b"/>
        <c:numFmt formatCode="[$-409]d\-mmm;@" sourceLinked="1"/>
        <c:majorTickMark val="out"/>
        <c:minorTickMark val="none"/>
        <c:tickLblPos val="nextTo"/>
        <c:crossAx val="285690880"/>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95E-2"/>
          <c:y val="3.4865534338914213E-2"/>
          <c:w val="0.1800648806713474"/>
          <c:h val="0.4023186686662884"/>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93288192"/>
        <c:axId val="293302272"/>
      </c:lineChart>
      <c:dateAx>
        <c:axId val="293288192"/>
        <c:scaling>
          <c:orientation val="minMax"/>
        </c:scaling>
        <c:delete val="0"/>
        <c:axPos val="b"/>
        <c:numFmt formatCode="[$-409]d\-mmm;@" sourceLinked="1"/>
        <c:majorTickMark val="cross"/>
        <c:minorTickMark val="none"/>
        <c:tickLblPos val="nextTo"/>
        <c:txPr>
          <a:bodyPr/>
          <a:lstStyle/>
          <a:p>
            <a:pPr>
              <a:defRPr b="1"/>
            </a:pPr>
            <a:endParaRPr lang="en-US"/>
          </a:p>
        </c:txPr>
        <c:crossAx val="293302272"/>
        <c:crosses val="autoZero"/>
        <c:auto val="1"/>
        <c:lblOffset val="100"/>
        <c:baseTimeUnit val="days"/>
      </c:dateAx>
      <c:valAx>
        <c:axId val="29330227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93288192"/>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Colony!$L$227:$L$250</c:f>
              <c:numCache>
                <c:formatCode>General</c:formatCode>
                <c:ptCount val="24"/>
                <c:pt idx="0">
                  <c:v>16000</c:v>
                </c:pt>
                <c:pt idx="1">
                  <c:v>16000</c:v>
                </c:pt>
                <c:pt idx="2">
                  <c:v>16000</c:v>
                </c:pt>
                <c:pt idx="3">
                  <c:v>14000</c:v>
                </c:pt>
                <c:pt idx="4">
                  <c:v>14000</c:v>
                </c:pt>
                <c:pt idx="5">
                  <c:v>12000</c:v>
                </c:pt>
                <c:pt idx="6">
                  <c:v>12000</c:v>
                </c:pt>
                <c:pt idx="7">
                  <c:v>16000</c:v>
                </c:pt>
                <c:pt idx="8">
                  <c:v>20000</c:v>
                </c:pt>
                <c:pt idx="9">
                  <c:v>28000</c:v>
                </c:pt>
                <c:pt idx="10">
                  <c:v>16000</c:v>
                </c:pt>
                <c:pt idx="11">
                  <c:v>24000</c:v>
                </c:pt>
                <c:pt idx="12">
                  <c:v>32000</c:v>
                </c:pt>
                <c:pt idx="13">
                  <c:v>42000</c:v>
                </c:pt>
                <c:pt idx="14">
                  <c:v>44000</c:v>
                </c:pt>
                <c:pt idx="15">
                  <c:v>44000</c:v>
                </c:pt>
                <c:pt idx="16">
                  <c:v>38000</c:v>
                </c:pt>
                <c:pt idx="17">
                  <c:v>32000</c:v>
                </c:pt>
                <c:pt idx="18">
                  <c:v>30000</c:v>
                </c:pt>
                <c:pt idx="19">
                  <c:v>24000</c:v>
                </c:pt>
                <c:pt idx="20">
                  <c:v>16000</c:v>
                </c:pt>
                <c:pt idx="21">
                  <c:v>14000</c:v>
                </c:pt>
                <c:pt idx="22">
                  <c:v>14000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Colony!$M$227:$M$249</c:f>
              <c:numCache>
                <c:formatCode>General</c:formatCode>
                <c:ptCount val="23"/>
                <c:pt idx="0">
                  <c:v>0</c:v>
                </c:pt>
                <c:pt idx="1">
                  <c:v>1125</c:v>
                </c:pt>
                <c:pt idx="2">
                  <c:v>2250</c:v>
                </c:pt>
                <c:pt idx="3">
                  <c:v>2250</c:v>
                </c:pt>
                <c:pt idx="4">
                  <c:v>4500</c:v>
                </c:pt>
                <c:pt idx="5">
                  <c:v>9000</c:v>
                </c:pt>
                <c:pt idx="6">
                  <c:v>13500</c:v>
                </c:pt>
                <c:pt idx="7">
                  <c:v>22500</c:v>
                </c:pt>
                <c:pt idx="8">
                  <c:v>31500</c:v>
                </c:pt>
                <c:pt idx="9">
                  <c:v>9000</c:v>
                </c:pt>
                <c:pt idx="10">
                  <c:v>27000</c:v>
                </c:pt>
                <c:pt idx="11">
                  <c:v>27000</c:v>
                </c:pt>
                <c:pt idx="12">
                  <c:v>24750</c:v>
                </c:pt>
                <c:pt idx="13">
                  <c:v>22500</c:v>
                </c:pt>
                <c:pt idx="14">
                  <c:v>20250</c:v>
                </c:pt>
                <c:pt idx="15">
                  <c:v>18000</c:v>
                </c:pt>
                <c:pt idx="16">
                  <c:v>15750</c:v>
                </c:pt>
                <c:pt idx="17">
                  <c:v>18000</c:v>
                </c:pt>
                <c:pt idx="18">
                  <c:v>9000</c:v>
                </c:pt>
                <c:pt idx="19">
                  <c:v>2250</c:v>
                </c:pt>
                <c:pt idx="20">
                  <c:v>0</c:v>
                </c:pt>
                <c:pt idx="21">
                  <c:v>0</c:v>
                </c:pt>
                <c:pt idx="22">
                  <c:v>0</c:v>
                </c:pt>
              </c:numCache>
            </c:numRef>
          </c:val>
          <c:smooth val="0"/>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93333248"/>
        <c:axId val="293339136"/>
      </c:lineChart>
      <c:dateAx>
        <c:axId val="293333248"/>
        <c:scaling>
          <c:orientation val="minMax"/>
        </c:scaling>
        <c:delete val="0"/>
        <c:axPos val="b"/>
        <c:numFmt formatCode="[$-409]d\-mmm;@" sourceLinked="1"/>
        <c:majorTickMark val="cross"/>
        <c:minorTickMark val="none"/>
        <c:tickLblPos val="nextTo"/>
        <c:txPr>
          <a:bodyPr/>
          <a:lstStyle/>
          <a:p>
            <a:pPr>
              <a:defRPr b="1"/>
            </a:pPr>
            <a:endParaRPr lang="en-US"/>
          </a:p>
        </c:txPr>
        <c:crossAx val="293339136"/>
        <c:crosses val="autoZero"/>
        <c:auto val="1"/>
        <c:lblOffset val="100"/>
        <c:baseTimeUnit val="days"/>
      </c:dateAx>
      <c:valAx>
        <c:axId val="293339136"/>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93333248"/>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Immigration by Setting</a:t>
            </a:r>
          </a:p>
        </c:rich>
      </c:tx>
      <c:overlay val="0"/>
    </c:title>
    <c:autoTitleDeleted val="0"/>
    <c:plotArea>
      <c:layout/>
      <c:lineChart>
        <c:grouping val="standard"/>
        <c:varyColors val="0"/>
        <c:ser>
          <c:idx val="4"/>
          <c:order val="0"/>
          <c:tx>
            <c:v>Setting 0</c:v>
          </c:tx>
          <c:spPr>
            <a:ln>
              <a:solidFill>
                <a:srgbClr val="00B050"/>
              </a:solidFill>
            </a:ln>
          </c:spPr>
          <c:marker>
            <c:symbol val="circle"/>
            <c:size val="5"/>
            <c:spPr>
              <a:solidFill>
                <a:srgbClr val="00B05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Colony!$AE$4:$AE$27</c:f>
              <c:numCache>
                <c:formatCode>General</c:formatCode>
                <c:ptCount val="24"/>
                <c:pt idx="10">
                  <c:v>0</c:v>
                </c:pt>
                <c:pt idx="11">
                  <c:v>0</c:v>
                </c:pt>
                <c:pt idx="12">
                  <c:v>0</c:v>
                </c:pt>
                <c:pt idx="13">
                  <c:v>0</c:v>
                </c:pt>
                <c:pt idx="14">
                  <c:v>0</c:v>
                </c:pt>
                <c:pt idx="15">
                  <c:v>0</c:v>
                </c:pt>
                <c:pt idx="16">
                  <c:v>0</c:v>
                </c:pt>
                <c:pt idx="17">
                  <c:v>0</c:v>
                </c:pt>
                <c:pt idx="18">
                  <c:v>0</c:v>
                </c:pt>
                <c:pt idx="19">
                  <c:v>0</c:v>
                </c:pt>
                <c:pt idx="20">
                  <c:v>0</c:v>
                </c:pt>
              </c:numCache>
            </c:numRef>
          </c:val>
          <c:smooth val="0"/>
        </c:ser>
        <c:ser>
          <c:idx val="0"/>
          <c:order val="1"/>
          <c:tx>
            <c:v>Setting 1</c:v>
          </c:tx>
          <c:spPr>
            <a:ln>
              <a:solidFill>
                <a:srgbClr val="69D8FF"/>
              </a:solidFill>
            </a:ln>
          </c:spPr>
          <c:marker>
            <c:symbol val="circle"/>
            <c:size val="5"/>
            <c:spPr>
              <a:solidFill>
                <a:srgbClr val="00B0F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Colony!$AF$4:$AF$27</c:f>
              <c:numCache>
                <c:formatCode>General</c:formatCode>
                <c:ptCount val="24"/>
                <c:pt idx="10">
                  <c:v>2</c:v>
                </c:pt>
                <c:pt idx="11">
                  <c:v>3</c:v>
                </c:pt>
                <c:pt idx="12">
                  <c:v>5</c:v>
                </c:pt>
                <c:pt idx="13">
                  <c:v>10</c:v>
                </c:pt>
                <c:pt idx="14">
                  <c:v>20</c:v>
                </c:pt>
                <c:pt idx="15">
                  <c:v>40</c:v>
                </c:pt>
                <c:pt idx="16">
                  <c:v>50</c:v>
                </c:pt>
                <c:pt idx="17">
                  <c:v>55</c:v>
                </c:pt>
                <c:pt idx="18">
                  <c:v>40</c:v>
                </c:pt>
                <c:pt idx="19">
                  <c:v>20</c:v>
                </c:pt>
                <c:pt idx="20">
                  <c:v>5</c:v>
                </c:pt>
              </c:numCache>
            </c:numRef>
          </c:val>
          <c:smooth val="0"/>
        </c:ser>
        <c:ser>
          <c:idx val="1"/>
          <c:order val="2"/>
          <c:tx>
            <c:v>Setting 2</c:v>
          </c:tx>
          <c:spPr>
            <a:ln>
              <a:solidFill>
                <a:srgbClr val="0070C0"/>
              </a:solidFill>
            </a:ln>
          </c:spPr>
          <c:marker>
            <c:symbol val="circle"/>
            <c:size val="5"/>
            <c:spPr>
              <a:solidFill>
                <a:srgbClr val="0070C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Colony!$AG$4:$AG$13</c:f>
              <c:numCache>
                <c:formatCode>General</c:formatCode>
                <c:ptCount val="10"/>
              </c:numCache>
            </c:numRef>
          </c:val>
          <c:smooth val="0"/>
        </c:ser>
        <c:ser>
          <c:idx val="2"/>
          <c:order val="3"/>
          <c:tx>
            <c:v>Setting 3</c:v>
          </c:tx>
          <c:spPr>
            <a:ln>
              <a:solidFill>
                <a:srgbClr val="7030A0"/>
              </a:solidFill>
            </a:ln>
          </c:spPr>
          <c:marker>
            <c:symbol val="circle"/>
            <c:size val="5"/>
            <c:spPr>
              <a:solidFill>
                <a:srgbClr val="7030A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Colony!$AH$4:$AH$27</c:f>
              <c:numCache>
                <c:formatCode>General</c:formatCode>
                <c:ptCount val="24"/>
                <c:pt idx="10">
                  <c:v>10</c:v>
                </c:pt>
                <c:pt idx="11">
                  <c:v>10</c:v>
                </c:pt>
                <c:pt idx="12">
                  <c:v>21</c:v>
                </c:pt>
                <c:pt idx="13">
                  <c:v>45</c:v>
                </c:pt>
                <c:pt idx="14" formatCode="0">
                  <c:v>130</c:v>
                </c:pt>
                <c:pt idx="15" formatCode="0">
                  <c:v>175</c:v>
                </c:pt>
                <c:pt idx="16" formatCode="0">
                  <c:v>210</c:v>
                </c:pt>
                <c:pt idx="17" formatCode="0">
                  <c:v>180</c:v>
                </c:pt>
                <c:pt idx="18" formatCode="0">
                  <c:v>130</c:v>
                </c:pt>
                <c:pt idx="19" formatCode="0">
                  <c:v>75</c:v>
                </c:pt>
                <c:pt idx="20" formatCode="0">
                  <c:v>14</c:v>
                </c:pt>
              </c:numCache>
            </c:numRef>
          </c:val>
          <c:smooth val="0"/>
        </c:ser>
        <c:ser>
          <c:idx val="3"/>
          <c:order val="4"/>
          <c:tx>
            <c:v>Setting 4</c:v>
          </c:tx>
          <c:spPr>
            <a:ln>
              <a:solidFill>
                <a:srgbClr val="FF0000"/>
              </a:solidFill>
            </a:ln>
          </c:spPr>
          <c:marker>
            <c:symbol val="circle"/>
            <c:size val="5"/>
            <c:spPr>
              <a:solidFill>
                <a:srgbClr val="FF0000"/>
              </a:solidFill>
              <a:ln>
                <a:noFill/>
              </a:ln>
            </c:spPr>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Colony!$AI$4:$AI$29</c:f>
              <c:numCache>
                <c:formatCode>General</c:formatCode>
                <c:ptCount val="26"/>
                <c:pt idx="10">
                  <c:v>20</c:v>
                </c:pt>
                <c:pt idx="11">
                  <c:v>30</c:v>
                </c:pt>
                <c:pt idx="12">
                  <c:v>45</c:v>
                </c:pt>
                <c:pt idx="13">
                  <c:v>75</c:v>
                </c:pt>
                <c:pt idx="14">
                  <c:v>200</c:v>
                </c:pt>
                <c:pt idx="15">
                  <c:v>400</c:v>
                </c:pt>
                <c:pt idx="16">
                  <c:v>500</c:v>
                </c:pt>
                <c:pt idx="17">
                  <c:v>400</c:v>
                </c:pt>
                <c:pt idx="18">
                  <c:v>200</c:v>
                </c:pt>
                <c:pt idx="19">
                  <c:v>100</c:v>
                </c:pt>
                <c:pt idx="20">
                  <c:v>30</c:v>
                </c:pt>
                <c:pt idx="25">
                  <c:v>2000</c:v>
                </c:pt>
              </c:numCache>
            </c:numRef>
          </c:val>
          <c:smooth val="0"/>
        </c:ser>
        <c:ser>
          <c:idx val="5"/>
          <c:order val="5"/>
          <c:tx>
            <c:v>Settling X</c:v>
          </c:tx>
          <c:marker>
            <c:symbol val="circle"/>
            <c:size val="5"/>
          </c:marker>
          <c:cat>
            <c:numRef>
              <c:f>Colony!$AC$4:$AC$27</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Colony!$AK$4:$AK$26</c:f>
              <c:numCache>
                <c:formatCode>General</c:formatCode>
                <c:ptCount val="23"/>
                <c:pt idx="10">
                  <c:v>35</c:v>
                </c:pt>
                <c:pt idx="11">
                  <c:v>35</c:v>
                </c:pt>
                <c:pt idx="12">
                  <c:v>35</c:v>
                </c:pt>
                <c:pt idx="13">
                  <c:v>35</c:v>
                </c:pt>
                <c:pt idx="14">
                  <c:v>35</c:v>
                </c:pt>
                <c:pt idx="15">
                  <c:v>35</c:v>
                </c:pt>
                <c:pt idx="16">
                  <c:v>35</c:v>
                </c:pt>
                <c:pt idx="17">
                  <c:v>35</c:v>
                </c:pt>
                <c:pt idx="18">
                  <c:v>35</c:v>
                </c:pt>
                <c:pt idx="19">
                  <c:v>35</c:v>
                </c:pt>
                <c:pt idx="20">
                  <c:v>35</c:v>
                </c:pt>
              </c:numCache>
            </c:numRef>
          </c:val>
          <c:smooth val="0"/>
        </c:ser>
        <c:dLbls>
          <c:showLegendKey val="0"/>
          <c:showVal val="0"/>
          <c:showCatName val="0"/>
          <c:showSerName val="0"/>
          <c:showPercent val="0"/>
          <c:showBubbleSize val="0"/>
        </c:dLbls>
        <c:marker val="1"/>
        <c:smooth val="0"/>
        <c:axId val="293364096"/>
        <c:axId val="293365632"/>
      </c:lineChart>
      <c:dateAx>
        <c:axId val="293364096"/>
        <c:scaling>
          <c:orientation val="minMax"/>
        </c:scaling>
        <c:delete val="0"/>
        <c:axPos val="b"/>
        <c:numFmt formatCode="[$-409]d\-mmm;@" sourceLinked="1"/>
        <c:majorTickMark val="out"/>
        <c:minorTickMark val="none"/>
        <c:tickLblPos val="nextTo"/>
        <c:crossAx val="293365632"/>
        <c:crosses val="autoZero"/>
        <c:auto val="1"/>
        <c:lblOffset val="100"/>
        <c:baseTimeUnit val="days"/>
      </c:dateAx>
      <c:valAx>
        <c:axId val="293365632"/>
        <c:scaling>
          <c:orientation val="minMax"/>
        </c:scaling>
        <c:delete val="0"/>
        <c:axPos val="l"/>
        <c:majorGridlines/>
        <c:title>
          <c:tx>
            <c:rich>
              <a:bodyPr rot="-5400000" vert="horz"/>
              <a:lstStyle/>
              <a:p>
                <a:pPr>
                  <a:defRPr/>
                </a:pPr>
                <a:r>
                  <a:rPr lang="en-US"/>
                  <a:t>Mite Immigration per 15-day Interval</a:t>
                </a:r>
              </a:p>
            </c:rich>
          </c:tx>
          <c:overlay val="0"/>
        </c:title>
        <c:numFmt formatCode="General" sourceLinked="1"/>
        <c:majorTickMark val="out"/>
        <c:minorTickMark val="none"/>
        <c:tickLblPos val="nextTo"/>
        <c:crossAx val="293364096"/>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Overall</a:t>
            </a:r>
            <a:r>
              <a:rPr lang="en-US" sz="1600" baseline="0"/>
              <a:t> f</a:t>
            </a:r>
            <a:r>
              <a:rPr lang="en-US" sz="1600"/>
              <a:t>old increase in mite pop,</a:t>
            </a:r>
          </a:p>
          <a:p>
            <a:pPr>
              <a:defRPr/>
            </a:pPr>
            <a:r>
              <a:rPr lang="en-US" sz="1600"/>
              <a:t>relative to months of broodrearing</a:t>
            </a:r>
            <a:r>
              <a:rPr lang="en-US" sz="1600" baseline="0"/>
              <a:t> and reductions by treatment</a:t>
            </a:r>
            <a:endParaRPr lang="en-US" sz="1600"/>
          </a:p>
        </c:rich>
      </c:tx>
      <c:overlay val="0"/>
    </c:title>
    <c:autoTitleDeleted val="0"/>
    <c:plotArea>
      <c:layout/>
      <c:lineChart>
        <c:grouping val="standard"/>
        <c:varyColors val="0"/>
        <c:ser>
          <c:idx val="0"/>
          <c:order val="0"/>
          <c:tx>
            <c:v>Mite increase</c:v>
          </c:tx>
          <c:spPr>
            <a:ln>
              <a:solidFill>
                <a:srgbClr val="FF0000"/>
              </a:solidFill>
            </a:ln>
          </c:spPr>
          <c:marker>
            <c:spPr>
              <a:solidFill>
                <a:srgbClr val="FF0000"/>
              </a:solidFill>
              <a:ln>
                <a:noFill/>
              </a:ln>
            </c:spPr>
          </c:marker>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reduction'!$F$18:$F$30</c:f>
              <c:numCache>
                <c:formatCode>0</c:formatCode>
                <c:ptCount val="13"/>
                <c:pt idx="0" formatCode="General">
                  <c:v>1</c:v>
                </c:pt>
                <c:pt idx="1">
                  <c:v>1.9347923344020315</c:v>
                </c:pt>
                <c:pt idx="2">
                  <c:v>3.7434213772608622</c:v>
                </c:pt>
                <c:pt idx="3">
                  <c:v>1.8106857462902528</c:v>
                </c:pt>
                <c:pt idx="4">
                  <c:v>3.5033009019334029</c:v>
                </c:pt>
                <c:pt idx="5">
                  <c:v>6.7781597301644707</c:v>
                </c:pt>
                <c:pt idx="6">
                  <c:v>13.114331487274759</c:v>
                </c:pt>
                <c:pt idx="7">
                  <c:v>2.5373508032386392</c:v>
                </c:pt>
                <c:pt idx="8">
                  <c:v>4.9092468837949559</c:v>
                </c:pt>
                <c:pt idx="9">
                  <c:v>0.94983732384535358</c:v>
                </c:pt>
                <c:pt idx="10">
                  <c:v>1.8377379731049299</c:v>
                </c:pt>
                <c:pt idx="11">
                  <c:v>1.5811607009408366</c:v>
                </c:pt>
                <c:pt idx="12">
                  <c:v>1.3604056719662561</c:v>
                </c:pt>
              </c:numCache>
            </c:numRef>
          </c:val>
          <c:smooth val="0"/>
        </c:ser>
        <c:ser>
          <c:idx val="1"/>
          <c:order val="1"/>
          <c:tx>
            <c:v>Treatment</c:v>
          </c:tx>
          <c:spPr>
            <a:ln>
              <a:noFill/>
            </a:ln>
          </c:spPr>
          <c:marker>
            <c:symbol val="triangle"/>
            <c:size val="12"/>
            <c:spPr>
              <a:solidFill>
                <a:schemeClr val="tx1"/>
              </a:solidFill>
            </c:spPr>
          </c:marker>
          <c:dLbls>
            <c:txPr>
              <a:bodyPr/>
              <a:lstStyle/>
              <a:p>
                <a:pPr>
                  <a:defRPr sz="1200" b="1">
                    <a:solidFill>
                      <a:schemeClr val="tx1"/>
                    </a:solidFill>
                  </a:defRPr>
                </a:pPr>
                <a:endParaRPr lang="en-US"/>
              </a:p>
            </c:txPr>
            <c:dLblPos val="t"/>
            <c:showLegendKey val="0"/>
            <c:showVal val="1"/>
            <c:showCatName val="0"/>
            <c:showSerName val="0"/>
            <c:showPercent val="0"/>
            <c:showBubbleSize val="0"/>
            <c:showLeaderLines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reduction'!$E$19:$E$30</c:f>
              <c:numCache>
                <c:formatCode>0%</c:formatCode>
                <c:ptCount val="12"/>
                <c:pt idx="2">
                  <c:v>0.75</c:v>
                </c:pt>
                <c:pt idx="6">
                  <c:v>0.9</c:v>
                </c:pt>
                <c:pt idx="8">
                  <c:v>0.9</c:v>
                </c:pt>
              </c:numCache>
            </c:numRef>
          </c:val>
          <c:smooth val="0"/>
        </c:ser>
        <c:ser>
          <c:idx val="2"/>
          <c:order val="2"/>
          <c:tx>
            <c:v>Start</c:v>
          </c:tx>
          <c:spPr>
            <a:ln w="19050">
              <a:solidFill>
                <a:srgbClr val="0070C0"/>
              </a:solidFill>
              <a:prstDash val="sysDash"/>
            </a:ln>
          </c:spPr>
          <c:marker>
            <c:symbol val="none"/>
          </c:marker>
          <c:dLbls>
            <c:dLbl>
              <c:idx val="6"/>
              <c:layout>
                <c:manualLayout>
                  <c:x val="0.10686808850704636"/>
                  <c:y val="3.2364612536990799E-3"/>
                </c:manualLayout>
              </c:layout>
              <c:tx>
                <c:rich>
                  <a:bodyPr/>
                  <a:lstStyle/>
                  <a:p>
                    <a:r>
                      <a:rPr lang="en-US" b="1">
                        <a:solidFill>
                          <a:srgbClr val="0070C0"/>
                        </a:solidFill>
                      </a:rPr>
                      <a:t>Baseline</a:t>
                    </a:r>
                  </a:p>
                </c:rich>
              </c:tx>
              <c:dLblPos val="r"/>
              <c:showLegendKey val="0"/>
              <c:showVal val="1"/>
              <c:showCatName val="0"/>
              <c:showSerName val="0"/>
              <c:showPercent val="0"/>
              <c:showBubbleSize val="0"/>
            </c:dLbl>
            <c:spPr>
              <a:solidFill>
                <a:schemeClr val="bg1"/>
              </a:solidFill>
            </c:spPr>
            <c:showLegendKey val="0"/>
            <c:showVal val="0"/>
            <c:showCatName val="0"/>
            <c:showSerName val="0"/>
            <c:showPercent val="0"/>
            <c:showBubbleSize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reduction'!$G$18:$G$30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ser>
        <c:dLbls>
          <c:showLegendKey val="0"/>
          <c:showVal val="0"/>
          <c:showCatName val="0"/>
          <c:showSerName val="0"/>
          <c:showPercent val="0"/>
          <c:showBubbleSize val="0"/>
        </c:dLbls>
        <c:marker val="1"/>
        <c:smooth val="0"/>
        <c:axId val="269910016"/>
        <c:axId val="269911936"/>
      </c:lineChart>
      <c:catAx>
        <c:axId val="269910016"/>
        <c:scaling>
          <c:orientation val="minMax"/>
        </c:scaling>
        <c:delete val="0"/>
        <c:axPos val="b"/>
        <c:title>
          <c:tx>
            <c:rich>
              <a:bodyPr/>
              <a:lstStyle/>
              <a:p>
                <a:pPr>
                  <a:defRPr/>
                </a:pPr>
                <a:r>
                  <a:rPr lang="en-US"/>
                  <a:t>Months</a:t>
                </a:r>
              </a:p>
            </c:rich>
          </c:tx>
          <c:overlay val="0"/>
        </c:title>
        <c:numFmt formatCode="General" sourceLinked="1"/>
        <c:majorTickMark val="out"/>
        <c:minorTickMark val="none"/>
        <c:tickLblPos val="nextTo"/>
        <c:crossAx val="269911936"/>
        <c:crosses val="autoZero"/>
        <c:auto val="1"/>
        <c:lblAlgn val="ctr"/>
        <c:lblOffset val="100"/>
        <c:noMultiLvlLbl val="0"/>
      </c:catAx>
      <c:valAx>
        <c:axId val="269911936"/>
        <c:scaling>
          <c:orientation val="minMax"/>
          <c:max val="100"/>
          <c:min val="0"/>
        </c:scaling>
        <c:delete val="0"/>
        <c:axPos val="l"/>
        <c:majorGridlines/>
        <c:title>
          <c:tx>
            <c:rich>
              <a:bodyPr rot="-5400000" vert="horz"/>
              <a:lstStyle/>
              <a:p>
                <a:pPr>
                  <a:defRPr sz="1400"/>
                </a:pPr>
                <a:r>
                  <a:rPr lang="en-US" sz="1400"/>
                  <a:t>Fold increase in mite</a:t>
                </a:r>
                <a:r>
                  <a:rPr lang="en-US" sz="1400" baseline="0"/>
                  <a:t> pop</a:t>
                </a:r>
                <a:r>
                  <a:rPr lang="en-US" sz="1400"/>
                  <a:t> from start</a:t>
                </a:r>
              </a:p>
            </c:rich>
          </c:tx>
          <c:overlay val="0"/>
        </c:title>
        <c:numFmt formatCode="General" sourceLinked="1"/>
        <c:majorTickMark val="out"/>
        <c:minorTickMark val="none"/>
        <c:tickLblPos val="nextTo"/>
        <c:crossAx val="269910016"/>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survivorship</a:t>
            </a:r>
          </a:p>
        </c:rich>
      </c:tx>
      <c:overlay val="0"/>
    </c:title>
    <c:autoTitleDeleted val="0"/>
    <c:plotArea>
      <c:layout/>
      <c:lineChart>
        <c:grouping val="standard"/>
        <c:varyColors val="0"/>
        <c:ser>
          <c:idx val="0"/>
          <c:order val="0"/>
          <c:spPr>
            <a:ln w="12700">
              <a:solidFill>
                <a:schemeClr val="tx1"/>
              </a:solidFill>
            </a:ln>
          </c:spPr>
          <c:marker>
            <c:symbol val="circle"/>
            <c:size val="3"/>
            <c:spPr>
              <a:solidFill>
                <a:schemeClr val="tx1"/>
              </a:solidFill>
              <a:ln>
                <a:noFill/>
              </a:ln>
            </c:spPr>
          </c:marker>
          <c:cat>
            <c:numRef>
              <c:f>'Necessary mite reduction'!$B$47:$B$67</c:f>
              <c:numCache>
                <c:formatCode>General</c:formatCode>
                <c:ptCount val="21"/>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numCache>
            </c:numRef>
          </c:cat>
          <c:val>
            <c:numRef>
              <c:f>'Necessary mite reduction'!$C$47:$C$67</c:f>
              <c:numCache>
                <c:formatCode>0</c:formatCode>
                <c:ptCount val="21"/>
                <c:pt idx="0">
                  <c:v>100</c:v>
                </c:pt>
                <c:pt idx="1">
                  <c:v>92.774348632855279</c:v>
                </c:pt>
                <c:pt idx="2">
                  <c:v>86.070797642505767</c:v>
                </c:pt>
                <c:pt idx="3">
                  <c:v>79.851621875937681</c:v>
                </c:pt>
                <c:pt idx="4">
                  <c:v>74.081822068171761</c:v>
                </c:pt>
                <c:pt idx="5">
                  <c:v>68.728927879097199</c:v>
                </c:pt>
                <c:pt idx="6">
                  <c:v>63.762815162177304</c:v>
                </c:pt>
                <c:pt idx="7">
                  <c:v>59.15553643668148</c:v>
                </c:pt>
                <c:pt idx="8">
                  <c:v>54.881163609402613</c:v>
                </c:pt>
                <c:pt idx="9">
                  <c:v>50.915642060754884</c:v>
                </c:pt>
                <c:pt idx="10">
                  <c:v>47.236655274101437</c:v>
                </c:pt>
                <c:pt idx="11">
                  <c:v>43.82349924649489</c:v>
                </c:pt>
                <c:pt idx="12">
                  <c:v>40.656965974059879</c:v>
                </c:pt>
                <c:pt idx="13">
                  <c:v>37.719235356315657</c:v>
                </c:pt>
                <c:pt idx="14">
                  <c:v>34.993774911115501</c:v>
                </c:pt>
                <c:pt idx="15">
                  <c:v>32.465246735834938</c:v>
                </c:pt>
                <c:pt idx="16">
                  <c:v>30.119421191220177</c:v>
                </c:pt>
                <c:pt idx="17">
                  <c:v>27.943096822140703</c:v>
                </c:pt>
                <c:pt idx="18">
                  <c:v>25.924026064589121</c:v>
                </c:pt>
                <c:pt idx="19">
                  <c:v>24.050846320834186</c:v>
                </c:pt>
                <c:pt idx="20">
                  <c:v>22.313016014842955</c:v>
                </c:pt>
              </c:numCache>
            </c:numRef>
          </c:val>
          <c:smooth val="0"/>
        </c:ser>
        <c:dLbls>
          <c:showLegendKey val="0"/>
          <c:showVal val="0"/>
          <c:showCatName val="0"/>
          <c:showSerName val="0"/>
          <c:showPercent val="0"/>
          <c:showBubbleSize val="0"/>
        </c:dLbls>
        <c:marker val="1"/>
        <c:smooth val="0"/>
        <c:axId val="293501184"/>
        <c:axId val="293516032"/>
      </c:lineChart>
      <c:catAx>
        <c:axId val="293501184"/>
        <c:scaling>
          <c:orientation val="minMax"/>
        </c:scaling>
        <c:delete val="0"/>
        <c:axPos val="b"/>
        <c:title>
          <c:tx>
            <c:rich>
              <a:bodyPr/>
              <a:lstStyle/>
              <a:p>
                <a:pPr>
                  <a:defRPr/>
                </a:pPr>
                <a:r>
                  <a:rPr lang="en-US"/>
                  <a:t>Days</a:t>
                </a:r>
              </a:p>
            </c:rich>
          </c:tx>
          <c:overlay val="0"/>
        </c:title>
        <c:numFmt formatCode="General" sourceLinked="1"/>
        <c:majorTickMark val="out"/>
        <c:minorTickMark val="none"/>
        <c:tickLblPos val="nextTo"/>
        <c:crossAx val="293516032"/>
        <c:crosses val="autoZero"/>
        <c:auto val="1"/>
        <c:lblAlgn val="ctr"/>
        <c:lblOffset val="100"/>
        <c:noMultiLvlLbl val="0"/>
      </c:catAx>
      <c:valAx>
        <c:axId val="293516032"/>
        <c:scaling>
          <c:orientation val="minMax"/>
          <c:max val="100"/>
        </c:scaling>
        <c:delete val="0"/>
        <c:axPos val="l"/>
        <c:majorGridlines/>
        <c:title>
          <c:tx>
            <c:rich>
              <a:bodyPr rot="-5400000" vert="horz"/>
              <a:lstStyle/>
              <a:p>
                <a:pPr>
                  <a:defRPr sz="1200"/>
                </a:pPr>
                <a:r>
                  <a:rPr lang="en-US" sz="1200"/>
                  <a:t>Percent of original mites still alive</a:t>
                </a:r>
              </a:p>
            </c:rich>
          </c:tx>
          <c:overlay val="0"/>
        </c:title>
        <c:numFmt formatCode="0" sourceLinked="1"/>
        <c:majorTickMark val="out"/>
        <c:minorTickMark val="none"/>
        <c:tickLblPos val="nextTo"/>
        <c:crossAx val="293501184"/>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change</a:t>
            </a:r>
            <a:r>
              <a:rPr lang="en-US" baseline="0"/>
              <a:t> in</a:t>
            </a:r>
            <a:r>
              <a:rPr lang="en-US"/>
              <a:t> the</a:t>
            </a:r>
            <a:r>
              <a:rPr lang="en-US" baseline="0"/>
              <a:t> varroa population and the bee population per time interval</a:t>
            </a:r>
            <a:endParaRPr lang="en-US"/>
          </a:p>
        </c:rich>
      </c:tx>
      <c:overlay val="0"/>
    </c:title>
    <c:autoTitleDeleted val="0"/>
    <c:plotArea>
      <c:layout>
        <c:manualLayout>
          <c:layoutTarget val="inner"/>
          <c:xMode val="edge"/>
          <c:yMode val="edge"/>
          <c:x val="0.12901539606399776"/>
          <c:y val="0.2004360820158381"/>
          <c:w val="0.60672016572641063"/>
          <c:h val="0.68850843966162556"/>
        </c:manualLayout>
      </c:layout>
      <c:lineChart>
        <c:grouping val="standard"/>
        <c:varyColors val="0"/>
        <c:ser>
          <c:idx val="0"/>
          <c:order val="0"/>
          <c:tx>
            <c:strRef>
              <c:f>'Relative rates of increase'!$C$29</c:f>
              <c:strCache>
                <c:ptCount val="1"/>
                <c:pt idx="0">
                  <c:v>% change in mite pop</c:v>
                </c:pt>
              </c:strCache>
            </c:strRef>
          </c:tx>
          <c:spPr>
            <a:ln>
              <a:solidFill>
                <a:srgbClr val="FF0000"/>
              </a:solidFill>
            </a:ln>
          </c:spPr>
          <c:marker>
            <c:symbol val="circle"/>
            <c:size val="5"/>
            <c:spPr>
              <a:solidFill>
                <a:srgbClr val="FF0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increase'!$C$30:$C$55</c:f>
              <c:numCache>
                <c:formatCode>General</c:formatCode>
                <c:ptCount val="26"/>
                <c:pt idx="1">
                  <c:v>-7.3399166893701517E-2</c:v>
                </c:pt>
                <c:pt idx="2">
                  <c:v>8.2678537267374175E-2</c:v>
                </c:pt>
                <c:pt idx="3">
                  <c:v>0.24022442086289875</c:v>
                </c:pt>
                <c:pt idx="4">
                  <c:v>0.27531034860799775</c:v>
                </c:pt>
                <c:pt idx="5">
                  <c:v>0.30656249467657171</c:v>
                </c:pt>
                <c:pt idx="6">
                  <c:v>0.40275096711035152</c:v>
                </c:pt>
                <c:pt idx="7">
                  <c:v>0.55742031819652538</c:v>
                </c:pt>
                <c:pt idx="8">
                  <c:v>0.57508373846029137</c:v>
                </c:pt>
                <c:pt idx="9">
                  <c:v>0.55707324548726578</c:v>
                </c:pt>
                <c:pt idx="10">
                  <c:v>0.50784368289643855</c:v>
                </c:pt>
                <c:pt idx="11">
                  <c:v>0.48690701084491805</c:v>
                </c:pt>
                <c:pt idx="12">
                  <c:v>0.42853113527727626</c:v>
                </c:pt>
                <c:pt idx="13">
                  <c:v>0.39653651974874538</c:v>
                </c:pt>
                <c:pt idx="14">
                  <c:v>0.35396658055831898</c:v>
                </c:pt>
                <c:pt idx="15">
                  <c:v>0.36569841958873917</c:v>
                </c:pt>
                <c:pt idx="16">
                  <c:v>-0.86498226550891388</c:v>
                </c:pt>
                <c:pt idx="17">
                  <c:v>1.0288477083819072</c:v>
                </c:pt>
                <c:pt idx="18">
                  <c:v>0.58207936157634776</c:v>
                </c:pt>
                <c:pt idx="19">
                  <c:v>0.24760360749488219</c:v>
                </c:pt>
                <c:pt idx="20">
                  <c:v>0</c:v>
                </c:pt>
                <c:pt idx="21">
                  <c:v>0</c:v>
                </c:pt>
                <c:pt idx="22">
                  <c:v>0</c:v>
                </c:pt>
                <c:pt idx="23">
                  <c:v>0</c:v>
                </c:pt>
                <c:pt idx="24">
                  <c:v>0</c:v>
                </c:pt>
              </c:numCache>
            </c:numRef>
          </c:val>
          <c:smooth val="0"/>
        </c:ser>
        <c:ser>
          <c:idx val="1"/>
          <c:order val="1"/>
          <c:tx>
            <c:strRef>
              <c:f>'Relative rates of increase'!$D$29</c:f>
              <c:strCache>
                <c:ptCount val="1"/>
                <c:pt idx="0">
                  <c:v>% change in bee pop</c:v>
                </c:pt>
              </c:strCache>
            </c:strRef>
          </c:tx>
          <c:spPr>
            <a:ln>
              <a:solidFill>
                <a:srgbClr val="FFC000"/>
              </a:solidFill>
            </a:ln>
          </c:spPr>
          <c:marker>
            <c:symbol val="circle"/>
            <c:size val="5"/>
            <c:spPr>
              <a:solidFill>
                <a:srgbClr val="FFC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increase'!$D$30:$D$55</c:f>
              <c:numCache>
                <c:formatCode>#,##0.000</c:formatCode>
                <c:ptCount val="26"/>
                <c:pt idx="1">
                  <c:v>0</c:v>
                </c:pt>
                <c:pt idx="2">
                  <c:v>0</c:v>
                </c:pt>
                <c:pt idx="3">
                  <c:v>-0.125</c:v>
                </c:pt>
                <c:pt idx="4">
                  <c:v>0</c:v>
                </c:pt>
                <c:pt idx="5">
                  <c:v>-0.1428571428571429</c:v>
                </c:pt>
                <c:pt idx="6">
                  <c:v>0</c:v>
                </c:pt>
                <c:pt idx="7">
                  <c:v>0.33333333333333326</c:v>
                </c:pt>
                <c:pt idx="8">
                  <c:v>0.375</c:v>
                </c:pt>
                <c:pt idx="9">
                  <c:v>0.36363636363636354</c:v>
                </c:pt>
                <c:pt idx="10">
                  <c:v>0.26666666666666661</c:v>
                </c:pt>
                <c:pt idx="11">
                  <c:v>0.15789473684210531</c:v>
                </c:pt>
                <c:pt idx="12">
                  <c:v>9.0909090909090828E-2</c:v>
                </c:pt>
                <c:pt idx="13">
                  <c:v>4.1666666666666741E-2</c:v>
                </c:pt>
                <c:pt idx="14">
                  <c:v>0</c:v>
                </c:pt>
                <c:pt idx="15">
                  <c:v>-0.12</c:v>
                </c:pt>
                <c:pt idx="16">
                  <c:v>-0.13636363636363635</c:v>
                </c:pt>
                <c:pt idx="17">
                  <c:v>-0.15789473684210531</c:v>
                </c:pt>
                <c:pt idx="18">
                  <c:v>-6.25E-2</c:v>
                </c:pt>
                <c:pt idx="19">
                  <c:v>-0.19999999999999996</c:v>
                </c:pt>
                <c:pt idx="20">
                  <c:v>-0.25</c:v>
                </c:pt>
                <c:pt idx="21">
                  <c:v>-5.555555555555558E-2</c:v>
                </c:pt>
                <c:pt idx="22">
                  <c:v>-2.9411764705882359E-2</c:v>
                </c:pt>
                <c:pt idx="23">
                  <c:v>-3.0303030303030276E-2</c:v>
                </c:pt>
                <c:pt idx="24">
                  <c:v>0</c:v>
                </c:pt>
              </c:numCache>
            </c:numRef>
          </c:val>
          <c:smooth val="0"/>
        </c:ser>
        <c:dLbls>
          <c:showLegendKey val="0"/>
          <c:showVal val="0"/>
          <c:showCatName val="0"/>
          <c:showSerName val="0"/>
          <c:showPercent val="0"/>
          <c:showBubbleSize val="0"/>
        </c:dLbls>
        <c:marker val="1"/>
        <c:smooth val="0"/>
        <c:axId val="296691200"/>
        <c:axId val="296693120"/>
      </c:lineChart>
      <c:dateAx>
        <c:axId val="296691200"/>
        <c:scaling>
          <c:orientation val="minMax"/>
        </c:scaling>
        <c:delete val="0"/>
        <c:axPos val="b"/>
        <c:numFmt formatCode="[$-409]d\-mmm;@" sourceLinked="1"/>
        <c:majorTickMark val="out"/>
        <c:minorTickMark val="none"/>
        <c:tickLblPos val="low"/>
        <c:crossAx val="296693120"/>
        <c:crosses val="autoZero"/>
        <c:auto val="1"/>
        <c:lblOffset val="100"/>
        <c:baseTimeUnit val="days"/>
      </c:dateAx>
      <c:valAx>
        <c:axId val="296693120"/>
        <c:scaling>
          <c:orientation val="minMax"/>
          <c:max val="0.8"/>
          <c:min val="-0.4"/>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overlay val="0"/>
        </c:title>
        <c:numFmt formatCode="0%" sourceLinked="0"/>
        <c:majorTickMark val="out"/>
        <c:minorTickMark val="none"/>
        <c:tickLblPos val="nextTo"/>
        <c:crossAx val="296691200"/>
        <c:crosses val="autoZero"/>
        <c:crossBetween val="midCat"/>
      </c:valAx>
    </c:plotArea>
    <c:legend>
      <c:legendPos val="r"/>
      <c:layout>
        <c:manualLayout>
          <c:xMode val="edge"/>
          <c:yMode val="edge"/>
          <c:x val="0.36785820612058434"/>
          <c:y val="0.19793238139728603"/>
          <c:w val="0.37246127154575037"/>
          <c:h val="0.11903755776060515"/>
        </c:manualLayout>
      </c:layout>
      <c:overlay val="0"/>
      <c:spPr>
        <a:noFill/>
      </c:sp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4"/>
          <c:y val="0.26682019427003756"/>
          <c:w val="0.68047390446079281"/>
          <c:h val="0.5713791834413231"/>
        </c:manualLayout>
      </c:layout>
      <c:lineChart>
        <c:grouping val="standard"/>
        <c:varyColors val="0"/>
        <c:ser>
          <c:idx val="0"/>
          <c:order val="1"/>
          <c:tx>
            <c:v>Varroa population in hive</c:v>
          </c:tx>
          <c:spPr>
            <a:ln>
              <a:solidFill>
                <a:srgbClr val="FF0000"/>
              </a:solidFill>
            </a:ln>
          </c:spPr>
          <c:marker>
            <c:symbol val="circle"/>
            <c:size val="5"/>
            <c:spPr>
              <a:solidFill>
                <a:srgbClr val="FF0000"/>
              </a:solidFill>
              <a:ln>
                <a:noFill/>
              </a:ln>
            </c:spPr>
          </c:marker>
          <c:cat>
            <c:numRef>
              <c:f>'Current version'!$AZ$4:$AZ$28</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50</c:v>
                </c:pt>
                <c:pt idx="1">
                  <c:v>46.330041655314922</c:v>
                </c:pt>
                <c:pt idx="2">
                  <c:v>50.160541730912875</c:v>
                </c:pt>
                <c:pt idx="3">
                  <c:v>62.210328818390686</c:v>
                </c:pt>
                <c:pt idx="4">
                  <c:v>79.337476132399999</c:v>
                </c:pt>
                <c:pt idx="5">
                  <c:v>103.6593707368915</c:v>
                </c:pt>
                <c:pt idx="6">
                  <c:v>145.40828255122503</c:v>
                </c:pt>
                <c:pt idx="7">
                  <c:v>226.46181367933914</c:v>
                </c:pt>
                <c:pt idx="8">
                  <c:v>356.69632010855145</c:v>
                </c:pt>
                <c:pt idx="9">
                  <c:v>555.40229680478683</c:v>
                </c:pt>
                <c:pt idx="10">
                  <c:v>837.45984470327062</c:v>
                </c:pt>
                <c:pt idx="11">
                  <c:v>1245.2249143903894</c:v>
                </c:pt>
                <c:pt idx="12">
                  <c:v>1778.8425606296521</c:v>
                </c:pt>
                <c:pt idx="13">
                  <c:v>2484.2185988026808</c:v>
                </c:pt>
                <c:pt idx="14">
                  <c:v>3363.5489615802444</c:v>
                </c:pt>
                <c:pt idx="15">
                  <c:v>4593.5935010394842</c:v>
                </c:pt>
                <c:pt idx="16">
                  <c:v>620.21658768332782</c:v>
                </c:pt>
                <c:pt idx="17">
                  <c:v>1258.3250026217659</c:v>
                </c:pt>
                <c:pt idx="18">
                  <c:v>1990.7700168033994</c:v>
                </c:pt>
                <c:pt idx="19">
                  <c:v>2483.6918546565685</c:v>
                </c:pt>
                <c:pt idx="20">
                  <c:v>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96741120"/>
        <c:axId val="296751488"/>
      </c:lineChart>
      <c:lineChart>
        <c:grouping val="standard"/>
        <c:varyColors val="0"/>
        <c:ser>
          <c:idx val="1"/>
          <c:order val="0"/>
          <c:tx>
            <c:v>Varroa rate of increase</c:v>
          </c:tx>
          <c:spPr>
            <a:ln>
              <a:solidFill>
                <a:schemeClr val="tx1"/>
              </a:solidFill>
            </a:ln>
          </c:spPr>
          <c:marker>
            <c:symbol val="circle"/>
            <c:size val="6"/>
            <c:spPr>
              <a:solidFill>
                <a:schemeClr val="tx1"/>
              </a:solidFill>
              <a:ln>
                <a:noFill/>
              </a:ln>
            </c:spPr>
          </c:marker>
          <c:cat>
            <c:multiLvlStrRef>
              <c:f>#REF!</c:f>
            </c:multiLvlStrRef>
          </c:cat>
          <c:val>
            <c:numRef>
              <c:f>'Current version'!$BB$4:$BB$28</c:f>
              <c:numCache>
                <c:formatCode>0.000</c:formatCode>
                <c:ptCount val="25"/>
                <c:pt idx="0">
                  <c:v>-5.0125418235442759E-3</c:v>
                </c:pt>
                <c:pt idx="1">
                  <c:v>5.2233269783675549E-3</c:v>
                </c:pt>
                <c:pt idx="2">
                  <c:v>1.4156209170941484E-2</c:v>
                </c:pt>
                <c:pt idx="3">
                  <c:v>1.5990546388849801E-2</c:v>
                </c:pt>
                <c:pt idx="4">
                  <c:v>1.7582441983191453E-2</c:v>
                </c:pt>
                <c:pt idx="5">
                  <c:v>2.2253279019456E-2</c:v>
                </c:pt>
                <c:pt idx="6">
                  <c:v>2.9130793006311054E-2</c:v>
                </c:pt>
                <c:pt idx="7">
                  <c:v>2.9872335658562781E-2</c:v>
                </c:pt>
                <c:pt idx="8">
                  <c:v>2.9116138155455329E-2</c:v>
                </c:pt>
                <c:pt idx="9">
                  <c:v>2.700365626231933E-2</c:v>
                </c:pt>
                <c:pt idx="10">
                  <c:v>2.6084260654346807E-2</c:v>
                </c:pt>
                <c:pt idx="11">
                  <c:v>2.345074443189361E-2</c:v>
                </c:pt>
                <c:pt idx="12">
                  <c:v>2.1961331965365281E-2</c:v>
                </c:pt>
                <c:pt idx="13">
                  <c:v>1.9925818663586187E-2</c:v>
                </c:pt>
                <c:pt idx="14">
                  <c:v>2.0493104251040176E-2</c:v>
                </c:pt>
                <c:pt idx="15">
                  <c:v>-0.13166131348411436</c:v>
                </c:pt>
                <c:pt idx="16">
                  <c:v>4.65184438718515E-2</c:v>
                </c:pt>
                <c:pt idx="17">
                  <c:v>3.0163728225703616E-2</c:v>
                </c:pt>
                <c:pt idx="18">
                  <c:v>1.4546274890630657E-2</c:v>
                </c:pt>
                <c:pt idx="19">
                  <c:v>5.0376419221572081E-3</c:v>
                </c:pt>
                <c:pt idx="20">
                  <c:v>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96759680"/>
        <c:axId val="296753408"/>
      </c:lineChart>
      <c:dateAx>
        <c:axId val="296741120"/>
        <c:scaling>
          <c:orientation val="minMax"/>
        </c:scaling>
        <c:delete val="0"/>
        <c:axPos val="b"/>
        <c:numFmt formatCode="d\ mmm" sourceLinked="1"/>
        <c:majorTickMark val="out"/>
        <c:minorTickMark val="none"/>
        <c:tickLblPos val="nextTo"/>
        <c:txPr>
          <a:bodyPr rot="0" vert="horz"/>
          <a:lstStyle/>
          <a:p>
            <a:pPr>
              <a:defRPr/>
            </a:pPr>
            <a:endParaRPr lang="en-US"/>
          </a:p>
        </c:txPr>
        <c:crossAx val="296751488"/>
        <c:crosses val="autoZero"/>
        <c:auto val="1"/>
        <c:lblOffset val="100"/>
        <c:baseTimeUnit val="days"/>
      </c:dateAx>
      <c:valAx>
        <c:axId val="296751488"/>
        <c:scaling>
          <c:orientation val="minMax"/>
        </c:scaling>
        <c:delete val="0"/>
        <c:axPos val="l"/>
        <c:majorGridlines/>
        <c:title>
          <c:tx>
            <c:rich>
              <a:bodyPr rot="-5400000" vert="horz"/>
              <a:lstStyle/>
              <a:p>
                <a:pPr>
                  <a:defRPr sz="1200" b="0"/>
                </a:pPr>
                <a:r>
                  <a:rPr lang="en-US" sz="1200" b="0"/>
                  <a:t>Number of mites</a:t>
                </a:r>
              </a:p>
            </c:rich>
          </c:tx>
          <c:overlay val="0"/>
        </c:title>
        <c:numFmt formatCode="#,##0" sourceLinked="1"/>
        <c:majorTickMark val="out"/>
        <c:minorTickMark val="none"/>
        <c:tickLblPos val="nextTo"/>
        <c:crossAx val="296741120"/>
        <c:crosses val="autoZero"/>
        <c:crossBetween val="midCat"/>
      </c:valAx>
      <c:valAx>
        <c:axId val="296753408"/>
        <c:scaling>
          <c:orientation val="minMax"/>
        </c:scaling>
        <c:delete val="0"/>
        <c:axPos val="r"/>
        <c:title>
          <c:tx>
            <c:rich>
              <a:bodyPr rot="-5400000" vert="horz"/>
              <a:lstStyle/>
              <a:p>
                <a:pPr>
                  <a:defRPr sz="1200" b="0"/>
                </a:pPr>
                <a:r>
                  <a:rPr lang="en-US" sz="1200" b="0"/>
                  <a:t>Daily rate of increase</a:t>
                </a:r>
              </a:p>
            </c:rich>
          </c:tx>
          <c:overlay val="0"/>
        </c:title>
        <c:numFmt formatCode="0.000" sourceLinked="1"/>
        <c:majorTickMark val="out"/>
        <c:minorTickMark val="none"/>
        <c:tickLblPos val="nextTo"/>
        <c:crossAx val="296759680"/>
        <c:crosses val="max"/>
        <c:crossBetween val="between"/>
      </c:valAx>
      <c:catAx>
        <c:axId val="296759680"/>
        <c:scaling>
          <c:orientation val="minMax"/>
        </c:scaling>
        <c:delete val="1"/>
        <c:axPos val="b"/>
        <c:numFmt formatCode="[$-409]d\-mmm;@" sourceLinked="1"/>
        <c:majorTickMark val="out"/>
        <c:minorTickMark val="none"/>
        <c:tickLblPos val="nextTo"/>
        <c:crossAx val="296753408"/>
        <c:crosses val="autoZero"/>
        <c:auto val="1"/>
        <c:lblAlgn val="ctr"/>
        <c:lblOffset val="100"/>
        <c:noMultiLvlLbl val="1"/>
      </c:catAx>
    </c:plotArea>
    <c:legend>
      <c:legendPos val="r"/>
      <c:layout>
        <c:manualLayout>
          <c:xMode val="edge"/>
          <c:yMode val="edge"/>
          <c:x val="0.29176259261948012"/>
          <c:y val="0.49600406667054853"/>
          <c:w val="0.23521057537213988"/>
          <c:h val="0.10169023208671255"/>
        </c:manualLayout>
      </c:layout>
      <c:overlay val="0"/>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8"/>
          <c:y val="4.3667727374786115E-2"/>
          <c:w val="0.77464173422335081"/>
          <c:h val="0.85664022664122796"/>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18.116710184682088</c:v>
                </c:pt>
                <c:pt idx="2">
                  <c:v>20.596310146589609</c:v>
                </c:pt>
                <c:pt idx="3">
                  <c:v>30.723543939120155</c:v>
                </c:pt>
                <c:pt idx="4">
                  <c:v>41.66216483334383</c:v>
                </c:pt>
                <c:pt idx="5">
                  <c:v>67.043442375650272</c:v>
                </c:pt>
                <c:pt idx="6">
                  <c:v>97.408429110409259</c:v>
                </c:pt>
                <c:pt idx="7">
                  <c:v>148.46842511372606</c:v>
                </c:pt>
                <c:pt idx="8">
                  <c:v>223.57015375049895</c:v>
                </c:pt>
                <c:pt idx="9">
                  <c:v>323.96295867443052</c:v>
                </c:pt>
                <c:pt idx="10">
                  <c:v>479.95631893000251</c:v>
                </c:pt>
                <c:pt idx="11">
                  <c:v>667.93189105560486</c:v>
                </c:pt>
                <c:pt idx="12">
                  <c:v>905.61609504744797</c:v>
                </c:pt>
                <c:pt idx="13">
                  <c:v>1177.7132476128613</c:v>
                </c:pt>
                <c:pt idx="14">
                  <c:v>1523.3139918881263</c:v>
                </c:pt>
                <c:pt idx="15">
                  <c:v>2013.2439080274801</c:v>
                </c:pt>
                <c:pt idx="16">
                  <c:v>324.00529624766062</c:v>
                </c:pt>
                <c:pt idx="17">
                  <c:v>696.7810661326746</c:v>
                </c:pt>
                <c:pt idx="18">
                  <c:v>944.14037187314648</c:v>
                </c:pt>
                <c:pt idx="19">
                  <c:v>722.1914966951191</c:v>
                </c:pt>
                <c:pt idx="20">
                  <c:v>0</c:v>
                </c:pt>
                <c:pt idx="21">
                  <c:v>0</c:v>
                </c:pt>
                <c:pt idx="22">
                  <c:v>0</c:v>
                </c:pt>
                <c:pt idx="23">
                  <c:v>0</c:v>
                </c:pt>
                <c:pt idx="24">
                  <c:v>0</c:v>
                </c:pt>
              </c:numCache>
            </c:numRef>
          </c:val>
        </c:ser>
        <c:dLbls>
          <c:showLegendKey val="0"/>
          <c:showVal val="0"/>
          <c:showCatName val="0"/>
          <c:showSerName val="0"/>
          <c:showPercent val="0"/>
          <c:showBubbleSize val="0"/>
        </c:dLbls>
        <c:axId val="297267200"/>
        <c:axId val="297268736"/>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dLbls>
          <c:showLegendKey val="0"/>
          <c:showVal val="0"/>
          <c:showCatName val="0"/>
          <c:showSerName val="0"/>
          <c:showPercent val="0"/>
          <c:showBubbleSize val="0"/>
        </c:dLbls>
        <c:axId val="297293312"/>
        <c:axId val="297270656"/>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
                  <c:y val="2.2789636995775544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44"/>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50</c:v>
                </c:pt>
                <c:pt idx="1">
                  <c:v>46.330041655314922</c:v>
                </c:pt>
                <c:pt idx="2">
                  <c:v>50.160541730912875</c:v>
                </c:pt>
                <c:pt idx="3">
                  <c:v>62.210328818390686</c:v>
                </c:pt>
                <c:pt idx="4">
                  <c:v>79.337476132399999</c:v>
                </c:pt>
                <c:pt idx="5">
                  <c:v>103.6593707368915</c:v>
                </c:pt>
                <c:pt idx="6">
                  <c:v>145.40828255122503</c:v>
                </c:pt>
                <c:pt idx="7">
                  <c:v>226.46181367933914</c:v>
                </c:pt>
                <c:pt idx="8">
                  <c:v>356.69632010855145</c:v>
                </c:pt>
                <c:pt idx="9">
                  <c:v>555.40229680478683</c:v>
                </c:pt>
                <c:pt idx="10">
                  <c:v>837.45984470327062</c:v>
                </c:pt>
                <c:pt idx="11">
                  <c:v>1245.2249143903894</c:v>
                </c:pt>
                <c:pt idx="12">
                  <c:v>1778.8425606296521</c:v>
                </c:pt>
                <c:pt idx="13">
                  <c:v>2484.2185988026808</c:v>
                </c:pt>
                <c:pt idx="14">
                  <c:v>3363.5489615802444</c:v>
                </c:pt>
                <c:pt idx="15">
                  <c:v>4593.5935010394842</c:v>
                </c:pt>
                <c:pt idx="16">
                  <c:v>620.21658768332782</c:v>
                </c:pt>
                <c:pt idx="17">
                  <c:v>1258.3250026217659</c:v>
                </c:pt>
                <c:pt idx="18">
                  <c:v>1990.7700168033994</c:v>
                </c:pt>
                <c:pt idx="19">
                  <c:v>2483.6918546565685</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20</c:v>
                </c:pt>
                <c:pt idx="11">
                  <c:v>30</c:v>
                </c:pt>
                <c:pt idx="12">
                  <c:v>45</c:v>
                </c:pt>
                <c:pt idx="13">
                  <c:v>75</c:v>
                </c:pt>
                <c:pt idx="14">
                  <c:v>200</c:v>
                </c:pt>
                <c:pt idx="15">
                  <c:v>400</c:v>
                </c:pt>
                <c:pt idx="16">
                  <c:v>500</c:v>
                </c:pt>
                <c:pt idx="17">
                  <c:v>400</c:v>
                </c:pt>
                <c:pt idx="18">
                  <c:v>200</c:v>
                </c:pt>
                <c:pt idx="19">
                  <c:v>100</c:v>
                </c:pt>
                <c:pt idx="20">
                  <c:v>30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97267200"/>
        <c:axId val="297268736"/>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0.984375</c:v>
                </c:pt>
                <c:pt idx="1">
                  <c:v>0.55057608541591319</c:v>
                </c:pt>
                <c:pt idx="2">
                  <c:v>0.57728566813075266</c:v>
                </c:pt>
                <c:pt idx="3">
                  <c:v>0.70315491641159555</c:v>
                </c:pt>
                <c:pt idx="4">
                  <c:v>0.84038700157409219</c:v>
                </c:pt>
                <c:pt idx="5">
                  <c:v>0.95015192641947144</c:v>
                </c:pt>
                <c:pt idx="6">
                  <c:v>1.0259508875187606</c:v>
                </c:pt>
                <c:pt idx="7">
                  <c:v>0.96057094334161486</c:v>
                </c:pt>
                <c:pt idx="8">
                  <c:v>1.2710631199841067</c:v>
                </c:pt>
                <c:pt idx="9">
                  <c:v>1.7456396524463247</c:v>
                </c:pt>
                <c:pt idx="10">
                  <c:v>2.2980357674402927</c:v>
                </c:pt>
                <c:pt idx="11">
                  <c:v>3.2966410365177397</c:v>
                </c:pt>
                <c:pt idx="12">
                  <c:v>4.6260558178815501</c:v>
                </c:pt>
                <c:pt idx="13">
                  <c:v>6.7042114797766708</c:v>
                </c:pt>
                <c:pt idx="14">
                  <c:v>9.3738116225378718</c:v>
                </c:pt>
                <c:pt idx="15">
                  <c:v>14.504575730995047</c:v>
                </c:pt>
                <c:pt idx="16">
                  <c:v>2.2588167269515695</c:v>
                </c:pt>
                <c:pt idx="17">
                  <c:v>4.9085977264090452</c:v>
                </c:pt>
                <c:pt idx="18">
                  <c:v>10.006538529525031</c:v>
                </c:pt>
                <c:pt idx="19">
                  <c:v>19.032543249172036</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version'!$AY$4:$AY$28</c:f>
              <c:numCache>
                <c:formatCode>General</c:formatCode>
                <c:ptCount val="25"/>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1.1208891600507059E-2</c:v>
                </c:pt>
              </c:numCache>
            </c:numRef>
          </c:val>
          <c:smooth val="0"/>
        </c:ser>
        <c:dLbls>
          <c:showLegendKey val="0"/>
          <c:showVal val="0"/>
          <c:showCatName val="0"/>
          <c:showSerName val="0"/>
          <c:showPercent val="0"/>
          <c:showBubbleSize val="0"/>
        </c:dLbls>
        <c:marker val="1"/>
        <c:smooth val="0"/>
        <c:axId val="297293312"/>
        <c:axId val="297270656"/>
      </c:lineChart>
      <c:dateAx>
        <c:axId val="297267200"/>
        <c:scaling>
          <c:orientation val="minMax"/>
        </c:scaling>
        <c:delete val="0"/>
        <c:axPos val="b"/>
        <c:numFmt formatCode="[$-409]d\-mmm;@" sourceLinked="1"/>
        <c:majorTickMark val="out"/>
        <c:minorTickMark val="none"/>
        <c:tickLblPos val="nextTo"/>
        <c:crossAx val="297268736"/>
        <c:crosses val="autoZero"/>
        <c:auto val="1"/>
        <c:lblOffset val="100"/>
        <c:baseTimeUnit val="days"/>
        <c:majorUnit val="1"/>
        <c:majorTimeUnit val="months"/>
        <c:minorUnit val="1"/>
        <c:minorTimeUnit val="months"/>
      </c:dateAx>
      <c:valAx>
        <c:axId val="297268736"/>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6E-2"/>
              <c:y val="2.1617088089280978E-2"/>
            </c:manualLayout>
          </c:layout>
          <c:overlay val="0"/>
        </c:title>
        <c:numFmt formatCode="#,##0" sourceLinked="0"/>
        <c:majorTickMark val="out"/>
        <c:minorTickMark val="none"/>
        <c:tickLblPos val="nextTo"/>
        <c:txPr>
          <a:bodyPr/>
          <a:lstStyle/>
          <a:p>
            <a:pPr>
              <a:defRPr sz="800"/>
            </a:pPr>
            <a:endParaRPr lang="en-US"/>
          </a:p>
        </c:txPr>
        <c:crossAx val="297267200"/>
        <c:crossesAt val="40544"/>
        <c:crossBetween val="midCat"/>
      </c:valAx>
      <c:valAx>
        <c:axId val="297270656"/>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33"/>
              <c:y val="0.16810172357821784"/>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97293312"/>
        <c:crosses val="max"/>
        <c:crossBetween val="between"/>
      </c:valAx>
      <c:dateAx>
        <c:axId val="297293312"/>
        <c:scaling>
          <c:orientation val="minMax"/>
        </c:scaling>
        <c:delete val="1"/>
        <c:axPos val="b"/>
        <c:numFmt formatCode="[$-409]d\-mmm;@" sourceLinked="1"/>
        <c:majorTickMark val="out"/>
        <c:minorTickMark val="none"/>
        <c:tickLblPos val="nextTo"/>
        <c:crossAx val="297270656"/>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1"/>
          <c:y val="5.0022794769701409E-2"/>
          <c:w val="0.2484079129035453"/>
          <c:h val="0.4023186686662884"/>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05"/>
                  <c:y val="-0.38620152045027067"/>
                </c:manualLayout>
              </c:layout>
              <c:numFmt formatCode="#,##0.0000"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version'!$CB$88:$CB$106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18"/>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version'!$CD$88:$CD$106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version'!$BY$88:$BY$106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285751168"/>
        <c:axId val="285757824"/>
      </c:scatterChart>
      <c:valAx>
        <c:axId val="285751168"/>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285757824"/>
        <c:crosses val="autoZero"/>
        <c:crossBetween val="midCat"/>
      </c:valAx>
      <c:valAx>
        <c:axId val="285757824"/>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285751168"/>
        <c:crosses val="autoZero"/>
        <c:crossBetween val="midCat"/>
      </c:valAx>
    </c:plotArea>
    <c:legend>
      <c:legendPos val="r"/>
      <c:overlay val="0"/>
    </c:legend>
    <c:plotVisOnly val="1"/>
    <c:dispBlanksAs val="span"/>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88398720"/>
        <c:axId val="288400512"/>
      </c:lineChart>
      <c:dateAx>
        <c:axId val="288398720"/>
        <c:scaling>
          <c:orientation val="minMax"/>
        </c:scaling>
        <c:delete val="0"/>
        <c:axPos val="b"/>
        <c:numFmt formatCode="[$-409]d\-mmm;@" sourceLinked="1"/>
        <c:majorTickMark val="cross"/>
        <c:minorTickMark val="none"/>
        <c:tickLblPos val="nextTo"/>
        <c:txPr>
          <a:bodyPr/>
          <a:lstStyle/>
          <a:p>
            <a:pPr>
              <a:defRPr b="1"/>
            </a:pPr>
            <a:endParaRPr lang="en-US"/>
          </a:p>
        </c:txPr>
        <c:crossAx val="288400512"/>
        <c:crosses val="autoZero"/>
        <c:auto val="1"/>
        <c:lblOffset val="100"/>
        <c:baseTimeUnit val="days"/>
      </c:dateAx>
      <c:valAx>
        <c:axId val="28840051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88398720"/>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57E-2"/>
          <c:w val="0.77464173422335081"/>
          <c:h val="0.82931961756200223"/>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Colony!$L$171:$L$194</c:f>
              <c:numCache>
                <c:formatCode>General</c:formatCode>
                <c:ptCount val="24"/>
                <c:pt idx="0">
                  <c:v>12000</c:v>
                </c:pt>
                <c:pt idx="1">
                  <c:v>11000</c:v>
                </c:pt>
                <c:pt idx="2">
                  <c:v>12000</c:v>
                </c:pt>
                <c:pt idx="3">
                  <c:v>16000</c:v>
                </c:pt>
                <c:pt idx="4">
                  <c:v>22000</c:v>
                </c:pt>
                <c:pt idx="5">
                  <c:v>32000</c:v>
                </c:pt>
                <c:pt idx="6">
                  <c:v>40000</c:v>
                </c:pt>
                <c:pt idx="7">
                  <c:v>30000</c:v>
                </c:pt>
                <c:pt idx="8">
                  <c:v>30000</c:v>
                </c:pt>
                <c:pt idx="9">
                  <c:v>40000</c:v>
                </c:pt>
                <c:pt idx="10">
                  <c:v>46000</c:v>
                </c:pt>
                <c:pt idx="11">
                  <c:v>50000</c:v>
                </c:pt>
                <c:pt idx="12">
                  <c:v>48000</c:v>
                </c:pt>
                <c:pt idx="13">
                  <c:v>46000</c:v>
                </c:pt>
                <c:pt idx="14">
                  <c:v>40000</c:v>
                </c:pt>
                <c:pt idx="15">
                  <c:v>34000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Colony!$M$171:$M$194</c:f>
              <c:numCache>
                <c:formatCode>General</c:formatCode>
                <c:ptCount val="24"/>
                <c:pt idx="0">
                  <c:v>2250</c:v>
                </c:pt>
                <c:pt idx="1">
                  <c:v>11250</c:v>
                </c:pt>
                <c:pt idx="2">
                  <c:v>20250</c:v>
                </c:pt>
                <c:pt idx="3">
                  <c:v>24750</c:v>
                </c:pt>
                <c:pt idx="4">
                  <c:v>31500</c:v>
                </c:pt>
                <c:pt idx="5">
                  <c:v>36000</c:v>
                </c:pt>
                <c:pt idx="6">
                  <c:v>45000</c:v>
                </c:pt>
                <c:pt idx="7">
                  <c:v>40500</c:v>
                </c:pt>
                <c:pt idx="8">
                  <c:v>40500</c:v>
                </c:pt>
                <c:pt idx="9">
                  <c:v>45000</c:v>
                </c:pt>
                <c:pt idx="10">
                  <c:v>45000</c:v>
                </c:pt>
                <c:pt idx="11">
                  <c:v>40500</c:v>
                </c:pt>
                <c:pt idx="12">
                  <c:v>27000</c:v>
                </c:pt>
                <c:pt idx="13">
                  <c:v>22500</c:v>
                </c:pt>
                <c:pt idx="14">
                  <c:v>20250</c:v>
                </c:pt>
                <c:pt idx="15">
                  <c:v>18000</c:v>
                </c:pt>
                <c:pt idx="16">
                  <c:v>15750</c:v>
                </c:pt>
                <c:pt idx="17">
                  <c:v>18000</c:v>
                </c:pt>
                <c:pt idx="18">
                  <c:v>22500</c:v>
                </c:pt>
                <c:pt idx="19">
                  <c:v>18000</c:v>
                </c:pt>
                <c:pt idx="20">
                  <c:v>4500</c:v>
                </c:pt>
                <c:pt idx="21">
                  <c:v>0</c:v>
                </c:pt>
                <c:pt idx="22">
                  <c:v>0</c:v>
                </c:pt>
                <c:pt idx="23">
                  <c:v>0</c:v>
                </c:pt>
              </c:numCache>
            </c:numRef>
          </c:val>
          <c:smooth val="0"/>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Colony!$C$171:$C$194</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Colony!$D$171:$D$194</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288439680"/>
        <c:axId val="288453760"/>
      </c:lineChart>
      <c:dateAx>
        <c:axId val="288439680"/>
        <c:scaling>
          <c:orientation val="minMax"/>
        </c:scaling>
        <c:delete val="0"/>
        <c:axPos val="b"/>
        <c:numFmt formatCode="[$-409]d\-mmm;@" sourceLinked="1"/>
        <c:majorTickMark val="cross"/>
        <c:minorTickMark val="none"/>
        <c:tickLblPos val="nextTo"/>
        <c:txPr>
          <a:bodyPr/>
          <a:lstStyle/>
          <a:p>
            <a:pPr>
              <a:defRPr b="1"/>
            </a:pPr>
            <a:endParaRPr lang="en-US"/>
          </a:p>
        </c:txPr>
        <c:crossAx val="288453760"/>
        <c:crosses val="autoZero"/>
        <c:auto val="1"/>
        <c:lblOffset val="100"/>
        <c:baseTimeUnit val="days"/>
      </c:dateAx>
      <c:valAx>
        <c:axId val="28845376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88439680"/>
        <c:crosses val="autoZero"/>
        <c:crossBetween val="between"/>
      </c:valAx>
    </c:plotArea>
    <c:legend>
      <c:legendPos val="r"/>
      <c:layout>
        <c:manualLayout>
          <c:xMode val="edge"/>
          <c:yMode val="edge"/>
          <c:x val="0.12641256799601103"/>
          <c:y val="7.737317450703278E-2"/>
          <c:w val="0.23229376633511895"/>
          <c:h val="0.3780400010974238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5.3924221010835181E-2"/>
          <c:w val="0.77464173422335081"/>
          <c:h val="0.86189516618122008"/>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Colony!$L$199:$L$222</c:f>
              <c:numCache>
                <c:formatCode>General</c:formatCode>
                <c:ptCount val="24"/>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Colony!$M$199:$M$222</c:f>
              <c:numCache>
                <c:formatCode>General</c:formatCode>
                <c:ptCount val="24"/>
                <c:pt idx="0">
                  <c:v>2250</c:v>
                </c:pt>
                <c:pt idx="1">
                  <c:v>11250</c:v>
                </c:pt>
                <c:pt idx="2">
                  <c:v>22500</c:v>
                </c:pt>
                <c:pt idx="3">
                  <c:v>27000</c:v>
                </c:pt>
                <c:pt idx="4">
                  <c:v>31500</c:v>
                </c:pt>
                <c:pt idx="5">
                  <c:v>31500</c:v>
                </c:pt>
                <c:pt idx="6">
                  <c:v>13500</c:v>
                </c:pt>
                <c:pt idx="7">
                  <c:v>13500</c:v>
                </c:pt>
                <c:pt idx="8">
                  <c:v>22500</c:v>
                </c:pt>
                <c:pt idx="9">
                  <c:v>27000</c:v>
                </c:pt>
                <c:pt idx="10">
                  <c:v>31500</c:v>
                </c:pt>
                <c:pt idx="11">
                  <c:v>31500</c:v>
                </c:pt>
                <c:pt idx="12">
                  <c:v>27000</c:v>
                </c:pt>
                <c:pt idx="13">
                  <c:v>22500</c:v>
                </c:pt>
                <c:pt idx="14">
                  <c:v>15750</c:v>
                </c:pt>
                <c:pt idx="15">
                  <c:v>15750</c:v>
                </c:pt>
                <c:pt idx="16">
                  <c:v>9000</c:v>
                </c:pt>
                <c:pt idx="17">
                  <c:v>13500</c:v>
                </c:pt>
                <c:pt idx="18">
                  <c:v>13500</c:v>
                </c:pt>
                <c:pt idx="19">
                  <c:v>11250</c:v>
                </c:pt>
                <c:pt idx="20">
                  <c:v>9000</c:v>
                </c:pt>
                <c:pt idx="21">
                  <c:v>2250</c:v>
                </c:pt>
                <c:pt idx="22">
                  <c:v>2250</c:v>
                </c:pt>
                <c:pt idx="23">
                  <c:v>0</c:v>
                </c:pt>
              </c:numCache>
            </c:numRef>
          </c:val>
          <c:smooth val="0"/>
        </c:ser>
        <c:ser>
          <c:idx val="0"/>
          <c:order val="2"/>
          <c:tx>
            <c:v>Cold temp</c:v>
          </c:tx>
          <c:spPr>
            <a:ln w="127000"/>
          </c:spPr>
          <c:marker>
            <c:symbol val="none"/>
          </c:marker>
          <c:cat>
            <c:numRef>
              <c:f>Colony!$E$199:$E$222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Colony!$C$199:$C$222</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Colony!$D$199:$D$222</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288476544"/>
        <c:axId val="288494720"/>
      </c:lineChart>
      <c:dateAx>
        <c:axId val="288476544"/>
        <c:scaling>
          <c:orientation val="minMax"/>
        </c:scaling>
        <c:delete val="0"/>
        <c:axPos val="b"/>
        <c:numFmt formatCode="[$-409]d\-mmm;@" sourceLinked="1"/>
        <c:majorTickMark val="cross"/>
        <c:minorTickMark val="none"/>
        <c:tickLblPos val="low"/>
        <c:txPr>
          <a:bodyPr/>
          <a:lstStyle/>
          <a:p>
            <a:pPr>
              <a:defRPr b="1"/>
            </a:pPr>
            <a:endParaRPr lang="en-US"/>
          </a:p>
        </c:txPr>
        <c:crossAx val="288494720"/>
        <c:crosses val="autoZero"/>
        <c:auto val="1"/>
        <c:lblOffset val="100"/>
        <c:baseTimeUnit val="days"/>
      </c:dateAx>
      <c:valAx>
        <c:axId val="28849472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88476544"/>
        <c:crosses val="autoZero"/>
        <c:crossBetween val="midCat"/>
      </c:valAx>
    </c:plotArea>
    <c:legend>
      <c:legendPos val="r"/>
      <c:layout>
        <c:manualLayout>
          <c:xMode val="edge"/>
          <c:yMode val="edge"/>
          <c:x val="0.12855046324991723"/>
          <c:y val="7.3954371088229359E-2"/>
          <c:w val="0.26044730356883677"/>
          <c:h val="0.4333091822988011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57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Colony!$L$255:$L$278</c:f>
              <c:numCache>
                <c:formatCode>General</c:formatCode>
                <c:ptCount val="24"/>
                <c:pt idx="0">
                  <c:v>10000</c:v>
                </c:pt>
                <c:pt idx="1">
                  <c:v>10000</c:v>
                </c:pt>
                <c:pt idx="2">
                  <c:v>9000</c:v>
                </c:pt>
                <c:pt idx="3">
                  <c:v>9000</c:v>
                </c:pt>
                <c:pt idx="4">
                  <c:v>8000</c:v>
                </c:pt>
                <c:pt idx="5">
                  <c:v>8000</c:v>
                </c:pt>
                <c:pt idx="6">
                  <c:v>8000</c:v>
                </c:pt>
                <c:pt idx="7">
                  <c:v>8000</c:v>
                </c:pt>
                <c:pt idx="8">
                  <c:v>8000</c:v>
                </c:pt>
                <c:pt idx="9">
                  <c:v>7000</c:v>
                </c:pt>
                <c:pt idx="10">
                  <c:v>9000</c:v>
                </c:pt>
                <c:pt idx="11">
                  <c:v>10000</c:v>
                </c:pt>
                <c:pt idx="12">
                  <c:v>10200</c:v>
                </c:pt>
                <c:pt idx="13">
                  <c:v>10400</c:v>
                </c:pt>
                <c:pt idx="14">
                  <c:v>11000</c:v>
                </c:pt>
                <c:pt idx="15">
                  <c:v>12000</c:v>
                </c:pt>
                <c:pt idx="16">
                  <c:v>12400</c:v>
                </c:pt>
                <c:pt idx="17">
                  <c:v>13000</c:v>
                </c:pt>
                <c:pt idx="18">
                  <c:v>13000</c:v>
                </c:pt>
                <c:pt idx="19">
                  <c:v>12000</c:v>
                </c:pt>
                <c:pt idx="20">
                  <c:v>11000</c:v>
                </c:pt>
                <c:pt idx="21">
                  <c:v>10000</c:v>
                </c:pt>
                <c:pt idx="22">
                  <c:v>10000</c:v>
                </c:pt>
                <c:pt idx="23">
                  <c:v>10000</c:v>
                </c:pt>
              </c:numCache>
            </c:numRef>
          </c:val>
          <c:smooth val="0"/>
        </c:ser>
        <c:ser>
          <c:idx val="2"/>
          <c:order val="1"/>
          <c:tx>
            <c:v>Total brood</c:v>
          </c:tx>
          <c:spPr>
            <a:ln w="38100">
              <a:solidFill>
                <a:schemeClr val="accent6">
                  <a:lumMod val="50000"/>
                </a:schemeClr>
              </a:solidFill>
              <a:prstDash val="sysDot"/>
            </a:ln>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Colony!$M$255:$M$278</c:f>
              <c:numCache>
                <c:formatCode>General</c:formatCode>
                <c:ptCount val="24"/>
                <c:pt idx="0">
                  <c:v>0</c:v>
                </c:pt>
                <c:pt idx="1">
                  <c:v>0</c:v>
                </c:pt>
                <c:pt idx="2">
                  <c:v>0</c:v>
                </c:pt>
                <c:pt idx="3">
                  <c:v>2250</c:v>
                </c:pt>
                <c:pt idx="4">
                  <c:v>2250</c:v>
                </c:pt>
                <c:pt idx="5">
                  <c:v>3375</c:v>
                </c:pt>
                <c:pt idx="6">
                  <c:v>3375</c:v>
                </c:pt>
                <c:pt idx="7">
                  <c:v>4500</c:v>
                </c:pt>
                <c:pt idx="8">
                  <c:v>6750</c:v>
                </c:pt>
                <c:pt idx="9">
                  <c:v>6750</c:v>
                </c:pt>
                <c:pt idx="10">
                  <c:v>7875</c:v>
                </c:pt>
                <c:pt idx="11">
                  <c:v>9000</c:v>
                </c:pt>
                <c:pt idx="12">
                  <c:v>9000</c:v>
                </c:pt>
                <c:pt idx="13">
                  <c:v>7875</c:v>
                </c:pt>
                <c:pt idx="14">
                  <c:v>9000</c:v>
                </c:pt>
                <c:pt idx="15">
                  <c:v>9900</c:v>
                </c:pt>
                <c:pt idx="16">
                  <c:v>9000</c:v>
                </c:pt>
                <c:pt idx="17">
                  <c:v>9000</c:v>
                </c:pt>
                <c:pt idx="18">
                  <c:v>6750</c:v>
                </c:pt>
                <c:pt idx="19">
                  <c:v>6750</c:v>
                </c:pt>
                <c:pt idx="20">
                  <c:v>4500</c:v>
                </c:pt>
                <c:pt idx="21">
                  <c:v>0</c:v>
                </c:pt>
                <c:pt idx="22">
                  <c:v>0</c:v>
                </c:pt>
                <c:pt idx="23">
                  <c:v>0</c:v>
                </c:pt>
              </c:numCache>
            </c:numRef>
          </c:val>
          <c:smooth val="0"/>
        </c:ser>
        <c:dLbls>
          <c:showLegendKey val="0"/>
          <c:showVal val="0"/>
          <c:showCatName val="0"/>
          <c:showSerName val="0"/>
          <c:showPercent val="0"/>
          <c:showBubbleSize val="0"/>
        </c:dLbls>
        <c:marker val="1"/>
        <c:smooth val="0"/>
        <c:axId val="288534528"/>
        <c:axId val="288536064"/>
      </c:lineChart>
      <c:lineChart>
        <c:grouping val="standard"/>
        <c:varyColors val="0"/>
        <c:ser>
          <c:idx val="0"/>
          <c:order val="2"/>
          <c:tx>
            <c:v>Cold temp</c:v>
          </c:tx>
          <c:spPr>
            <a:ln w="127000"/>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Colony!$C$255:$C$278</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Colony!$D$255:$D$278</c:f>
              <c:numCache>
                <c:formatCode>General</c:formatCode>
                <c:ptCount val="24"/>
                <c:pt idx="6">
                  <c:v>1</c:v>
                </c:pt>
                <c:pt idx="7">
                  <c:v>1</c:v>
                </c:pt>
                <c:pt idx="8">
                  <c:v>1</c:v>
                </c:pt>
                <c:pt idx="9">
                  <c:v>1</c:v>
                </c:pt>
                <c:pt idx="10">
                  <c:v>1</c:v>
                </c:pt>
                <c:pt idx="11">
                  <c:v>1</c:v>
                </c:pt>
                <c:pt idx="12">
                  <c:v>1</c:v>
                </c:pt>
                <c:pt idx="13">
                  <c:v>1</c:v>
                </c:pt>
                <c:pt idx="14">
                  <c:v>1</c:v>
                </c:pt>
                <c:pt idx="15">
                  <c:v>1</c:v>
                </c:pt>
                <c:pt idx="16">
                  <c:v>1</c:v>
                </c:pt>
                <c:pt idx="17">
                  <c:v>1</c:v>
                </c:pt>
              </c:numCache>
            </c:numRef>
          </c:val>
          <c:smooth val="0"/>
        </c:ser>
        <c:ser>
          <c:idx val="5"/>
          <c:order val="4"/>
          <c:tx>
            <c:v>High temps</c:v>
          </c:tx>
          <c:spPr>
            <a:ln w="127000">
              <a:solidFill>
                <a:srgbClr val="FF0000"/>
              </a:solidFill>
            </a:ln>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Colony!$K$255:$K$278</c:f>
              <c:numCache>
                <c:formatCode>General</c:formatCode>
                <c:ptCount val="24"/>
              </c:numCache>
            </c:numRef>
          </c:val>
          <c:smooth val="0"/>
        </c:ser>
        <c:ser>
          <c:idx val="6"/>
          <c:order val="5"/>
          <c:tx>
            <c:v>Drone brood</c:v>
          </c:tx>
          <c:spPr>
            <a:ln>
              <a:solidFill>
                <a:srgbClr val="C00000"/>
              </a:solidFill>
              <a:prstDash val="sysDot"/>
            </a:ln>
          </c:spPr>
          <c:marker>
            <c:symbol val="none"/>
          </c:marker>
          <c:cat>
            <c:numRef>
              <c:f>Colony!$E$255:$E$278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Colony!$N$255:$N$278</c:f>
              <c:numCache>
                <c:formatCode>General</c:formatCode>
                <c:ptCount val="24"/>
                <c:pt idx="0">
                  <c:v>0</c:v>
                </c:pt>
                <c:pt idx="1">
                  <c:v>0</c:v>
                </c:pt>
                <c:pt idx="2">
                  <c:v>0</c:v>
                </c:pt>
                <c:pt idx="3">
                  <c:v>0</c:v>
                </c:pt>
                <c:pt idx="4">
                  <c:v>0</c:v>
                </c:pt>
                <c:pt idx="5">
                  <c:v>0</c:v>
                </c:pt>
                <c:pt idx="6">
                  <c:v>0</c:v>
                </c:pt>
                <c:pt idx="7">
                  <c:v>0</c:v>
                </c:pt>
                <c:pt idx="8">
                  <c:v>0</c:v>
                </c:pt>
                <c:pt idx="9">
                  <c:v>5</c:v>
                </c:pt>
                <c:pt idx="10">
                  <c:v>5</c:v>
                </c:pt>
                <c:pt idx="11">
                  <c:v>5</c:v>
                </c:pt>
                <c:pt idx="12">
                  <c:v>5</c:v>
                </c:pt>
                <c:pt idx="13">
                  <c:v>5</c:v>
                </c:pt>
                <c:pt idx="14">
                  <c:v>5</c:v>
                </c:pt>
                <c:pt idx="15">
                  <c:v>5</c:v>
                </c:pt>
                <c:pt idx="16">
                  <c:v>2</c:v>
                </c:pt>
                <c:pt idx="17">
                  <c:v>2</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288560640"/>
        <c:axId val="288537984"/>
      </c:lineChart>
      <c:dateAx>
        <c:axId val="288534528"/>
        <c:scaling>
          <c:orientation val="minMax"/>
        </c:scaling>
        <c:delete val="0"/>
        <c:axPos val="b"/>
        <c:numFmt formatCode="[$-409]d\-mmm;@" sourceLinked="1"/>
        <c:majorTickMark val="cross"/>
        <c:minorTickMark val="none"/>
        <c:tickLblPos val="nextTo"/>
        <c:txPr>
          <a:bodyPr/>
          <a:lstStyle/>
          <a:p>
            <a:pPr>
              <a:defRPr b="1"/>
            </a:pPr>
            <a:endParaRPr lang="en-US"/>
          </a:p>
        </c:txPr>
        <c:crossAx val="288536064"/>
        <c:crosses val="autoZero"/>
        <c:auto val="1"/>
        <c:lblOffset val="100"/>
        <c:baseTimeUnit val="days"/>
      </c:dateAx>
      <c:valAx>
        <c:axId val="28853606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88534528"/>
        <c:crosses val="autoZero"/>
        <c:crossBetween val="between"/>
      </c:valAx>
      <c:valAx>
        <c:axId val="288537984"/>
        <c:scaling>
          <c:orientation val="minMax"/>
          <c:max val="100"/>
        </c:scaling>
        <c:delete val="0"/>
        <c:axPos val="r"/>
        <c:title>
          <c:tx>
            <c:rich>
              <a:bodyPr rot="-5400000" vert="horz"/>
              <a:lstStyle/>
              <a:p>
                <a:pPr>
                  <a:defRPr sz="1100" b="0">
                    <a:solidFill>
                      <a:srgbClr val="FF0000"/>
                    </a:solidFill>
                  </a:defRPr>
                </a:pPr>
                <a:r>
                  <a:rPr lang="en-US" sz="1100" b="0">
                    <a:solidFill>
                      <a:srgbClr val="FF0000"/>
                    </a:solidFill>
                  </a:rPr>
                  <a:t>Number of mites immigrating during period</a:t>
                </a:r>
              </a:p>
            </c:rich>
          </c:tx>
          <c:overlay val="0"/>
        </c:title>
        <c:numFmt formatCode="General" sourceLinked="1"/>
        <c:majorTickMark val="out"/>
        <c:minorTickMark val="none"/>
        <c:tickLblPos val="nextTo"/>
        <c:txPr>
          <a:bodyPr/>
          <a:lstStyle/>
          <a:p>
            <a:pPr>
              <a:defRPr>
                <a:solidFill>
                  <a:srgbClr val="FF0000"/>
                </a:solidFill>
              </a:defRPr>
            </a:pPr>
            <a:endParaRPr lang="en-US"/>
          </a:p>
        </c:txPr>
        <c:crossAx val="288560640"/>
        <c:crosses val="max"/>
        <c:crossBetween val="between"/>
      </c:valAx>
      <c:dateAx>
        <c:axId val="288560640"/>
        <c:scaling>
          <c:orientation val="minMax"/>
        </c:scaling>
        <c:delete val="1"/>
        <c:axPos val="b"/>
        <c:numFmt formatCode="[$-409]d\-mmm;@" sourceLinked="1"/>
        <c:majorTickMark val="out"/>
        <c:minorTickMark val="none"/>
        <c:tickLblPos val="nextTo"/>
        <c:crossAx val="288537984"/>
        <c:crosses val="autoZero"/>
        <c:auto val="1"/>
        <c:lblOffset val="100"/>
        <c:baseTimeUnit val="days"/>
        <c:majorUnit val="1"/>
        <c:minorUnit val="1"/>
      </c:dateAx>
    </c:plotArea>
    <c:legend>
      <c:legendPos val="r"/>
      <c:layout>
        <c:manualLayout>
          <c:xMode val="edge"/>
          <c:yMode val="edge"/>
          <c:x val="0.12641256799601103"/>
          <c:y val="7.737317450703278E-2"/>
          <c:w val="0.26221505798886552"/>
          <c:h val="0.41366141732283462"/>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Colony!$L$115:$L$138</c:f>
              <c:numCache>
                <c:formatCode>General</c:formatCode>
                <c:ptCount val="24"/>
                <c:pt idx="0">
                  <c:v>14000</c:v>
                </c:pt>
                <c:pt idx="1">
                  <c:v>14000</c:v>
                </c:pt>
                <c:pt idx="2">
                  <c:v>20000</c:v>
                </c:pt>
                <c:pt idx="3">
                  <c:v>24000</c:v>
                </c:pt>
                <c:pt idx="4">
                  <c:v>24000</c:v>
                </c:pt>
                <c:pt idx="5">
                  <c:v>28000</c:v>
                </c:pt>
                <c:pt idx="6">
                  <c:v>32000</c:v>
                </c:pt>
                <c:pt idx="7">
                  <c:v>36000</c:v>
                </c:pt>
                <c:pt idx="8">
                  <c:v>36000</c:v>
                </c:pt>
                <c:pt idx="9">
                  <c:v>32000</c:v>
                </c:pt>
                <c:pt idx="10">
                  <c:v>30000</c:v>
                </c:pt>
                <c:pt idx="11">
                  <c:v>28000</c:v>
                </c:pt>
                <c:pt idx="12">
                  <c:v>26000</c:v>
                </c:pt>
                <c:pt idx="13">
                  <c:v>24000</c:v>
                </c:pt>
                <c:pt idx="14">
                  <c:v>20000</c:v>
                </c:pt>
                <c:pt idx="15">
                  <c:v>16000</c:v>
                </c:pt>
                <c:pt idx="16">
                  <c:v>14000</c:v>
                </c:pt>
                <c:pt idx="17">
                  <c:v>15000</c:v>
                </c:pt>
                <c:pt idx="18">
                  <c:v>16000</c:v>
                </c:pt>
                <c:pt idx="19">
                  <c:v>20000</c:v>
                </c:pt>
                <c:pt idx="20">
                  <c:v>20000</c:v>
                </c:pt>
                <c:pt idx="21">
                  <c:v>18000</c:v>
                </c:pt>
                <c:pt idx="22">
                  <c:v>16000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Colony!$M$115:$M$138</c:f>
              <c:numCache>
                <c:formatCode>General</c:formatCode>
                <c:ptCount val="24"/>
                <c:pt idx="0">
                  <c:v>9000</c:v>
                </c:pt>
                <c:pt idx="1">
                  <c:v>13500</c:v>
                </c:pt>
                <c:pt idx="2">
                  <c:v>18000</c:v>
                </c:pt>
                <c:pt idx="3">
                  <c:v>22500</c:v>
                </c:pt>
                <c:pt idx="4">
                  <c:v>31500</c:v>
                </c:pt>
                <c:pt idx="5">
                  <c:v>33750</c:v>
                </c:pt>
                <c:pt idx="6">
                  <c:v>36000</c:v>
                </c:pt>
                <c:pt idx="7">
                  <c:v>31500</c:v>
                </c:pt>
                <c:pt idx="8">
                  <c:v>27000</c:v>
                </c:pt>
                <c:pt idx="9">
                  <c:v>27000</c:v>
                </c:pt>
                <c:pt idx="10">
                  <c:v>22500</c:v>
                </c:pt>
                <c:pt idx="11">
                  <c:v>18000</c:v>
                </c:pt>
                <c:pt idx="12">
                  <c:v>18000</c:v>
                </c:pt>
                <c:pt idx="13">
                  <c:v>13500</c:v>
                </c:pt>
                <c:pt idx="14">
                  <c:v>9000</c:v>
                </c:pt>
                <c:pt idx="15">
                  <c:v>9000</c:v>
                </c:pt>
                <c:pt idx="16">
                  <c:v>9000</c:v>
                </c:pt>
                <c:pt idx="17">
                  <c:v>18000</c:v>
                </c:pt>
                <c:pt idx="18">
                  <c:v>18000</c:v>
                </c:pt>
                <c:pt idx="19">
                  <c:v>13500</c:v>
                </c:pt>
                <c:pt idx="20">
                  <c:v>9000</c:v>
                </c:pt>
                <c:pt idx="21">
                  <c:v>9000</c:v>
                </c:pt>
                <c:pt idx="22">
                  <c:v>9000</c:v>
                </c:pt>
                <c:pt idx="23">
                  <c:v>9000</c:v>
                </c:pt>
              </c:numCache>
            </c:numRef>
          </c:val>
          <c:smooth val="0"/>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Colony!$C$115:$C$138</c:f>
              <c:numCache>
                <c:formatCode>General</c:formatCode>
                <c:ptCount val="24"/>
                <c:pt idx="15">
                  <c:v>1</c:v>
                </c:pt>
                <c:pt idx="16">
                  <c:v>1</c:v>
                </c:pt>
                <c:pt idx="17">
                  <c:v>1</c:v>
                </c:pt>
              </c:numCache>
            </c:numRef>
          </c:val>
          <c:smooth val="0"/>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Colony!$D$115:$D$138</c:f>
              <c:numCache>
                <c:formatCode>General</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ser>
        <c:dLbls>
          <c:showLegendKey val="0"/>
          <c:showVal val="0"/>
          <c:showCatName val="0"/>
          <c:showSerName val="0"/>
          <c:showPercent val="0"/>
          <c:showBubbleSize val="0"/>
        </c:dLbls>
        <c:marker val="1"/>
        <c:smooth val="0"/>
        <c:axId val="288585600"/>
        <c:axId val="288587136"/>
      </c:lineChart>
      <c:dateAx>
        <c:axId val="288585600"/>
        <c:scaling>
          <c:orientation val="minMax"/>
        </c:scaling>
        <c:delete val="0"/>
        <c:axPos val="b"/>
        <c:numFmt formatCode="[$-409]d\-mmm;@" sourceLinked="1"/>
        <c:majorTickMark val="cross"/>
        <c:minorTickMark val="none"/>
        <c:tickLblPos val="nextTo"/>
        <c:txPr>
          <a:bodyPr/>
          <a:lstStyle/>
          <a:p>
            <a:pPr>
              <a:defRPr b="1"/>
            </a:pPr>
            <a:endParaRPr lang="en-US"/>
          </a:p>
        </c:txPr>
        <c:crossAx val="288587136"/>
        <c:crosses val="autoZero"/>
        <c:auto val="1"/>
        <c:lblOffset val="100"/>
        <c:baseTimeUnit val="days"/>
      </c:dateAx>
      <c:valAx>
        <c:axId val="288587136"/>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88585600"/>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Colony!$L$87:$L$110</c:f>
              <c:numCache>
                <c:formatCode>General</c:formatCode>
                <c:ptCount val="24"/>
                <c:pt idx="0">
                  <c:v>0</c:v>
                </c:pt>
                <c:pt idx="1">
                  <c:v>0</c:v>
                </c:pt>
                <c:pt idx="2">
                  <c:v>0</c:v>
                </c:pt>
                <c:pt idx="3">
                  <c:v>0</c:v>
                </c:pt>
                <c:pt idx="4">
                  <c:v>0</c:v>
                </c:pt>
                <c:pt idx="5">
                  <c:v>0</c:v>
                </c:pt>
                <c:pt idx="6">
                  <c:v>12000</c:v>
                </c:pt>
                <c:pt idx="7">
                  <c:v>10000</c:v>
                </c:pt>
                <c:pt idx="8">
                  <c:v>18000</c:v>
                </c:pt>
                <c:pt idx="9">
                  <c:v>26000</c:v>
                </c:pt>
                <c:pt idx="10">
                  <c:v>34000</c:v>
                </c:pt>
                <c:pt idx="11">
                  <c:v>42000</c:v>
                </c:pt>
                <c:pt idx="12">
                  <c:v>50000</c:v>
                </c:pt>
                <c:pt idx="13">
                  <c:v>52000</c:v>
                </c:pt>
                <c:pt idx="14">
                  <c:v>50000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Colony!$M$87:$M$110</c:f>
              <c:numCache>
                <c:formatCode>General</c:formatCode>
                <c:ptCount val="24"/>
                <c:pt idx="0">
                  <c:v>0</c:v>
                </c:pt>
                <c:pt idx="1">
                  <c:v>0</c:v>
                </c:pt>
                <c:pt idx="2">
                  <c:v>0</c:v>
                </c:pt>
                <c:pt idx="3">
                  <c:v>0</c:v>
                </c:pt>
                <c:pt idx="4">
                  <c:v>0</c:v>
                </c:pt>
                <c:pt idx="5">
                  <c:v>0</c:v>
                </c:pt>
                <c:pt idx="6">
                  <c:v>0</c:v>
                </c:pt>
                <c:pt idx="7">
                  <c:v>13500</c:v>
                </c:pt>
                <c:pt idx="8">
                  <c:v>18000</c:v>
                </c:pt>
                <c:pt idx="9">
                  <c:v>31500</c:v>
                </c:pt>
                <c:pt idx="10">
                  <c:v>36000</c:v>
                </c:pt>
                <c:pt idx="11">
                  <c:v>36000</c:v>
                </c:pt>
                <c:pt idx="12">
                  <c:v>36000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Colony!$C$87:$C$110</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Colony!$D$87:$D$110</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88618368"/>
        <c:axId val="288619904"/>
      </c:lineChart>
      <c:dateAx>
        <c:axId val="288618368"/>
        <c:scaling>
          <c:orientation val="minMax"/>
        </c:scaling>
        <c:delete val="0"/>
        <c:axPos val="b"/>
        <c:numFmt formatCode="[$-409]d\-mmm;@" sourceLinked="1"/>
        <c:majorTickMark val="cross"/>
        <c:minorTickMark val="none"/>
        <c:tickLblPos val="nextTo"/>
        <c:txPr>
          <a:bodyPr/>
          <a:lstStyle/>
          <a:p>
            <a:pPr>
              <a:defRPr b="1"/>
            </a:pPr>
            <a:endParaRPr lang="en-US"/>
          </a:p>
        </c:txPr>
        <c:crossAx val="288619904"/>
        <c:crosses val="autoZero"/>
        <c:auto val="1"/>
        <c:lblOffset val="100"/>
        <c:baseTimeUnit val="days"/>
      </c:dateAx>
      <c:valAx>
        <c:axId val="28861990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88618368"/>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8"/>
          <c:y val="4.3667727374786115E-2"/>
          <c:w val="0.77464173422335081"/>
          <c:h val="0.86355144312630139"/>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Colony!$L$59:$L$82</c:f>
              <c:numCache>
                <c:formatCode>General</c:formatCode>
                <c:ptCount val="24"/>
                <c:pt idx="0">
                  <c:v>0</c:v>
                </c:pt>
                <c:pt idx="1">
                  <c:v>0</c:v>
                </c:pt>
                <c:pt idx="2">
                  <c:v>0</c:v>
                </c:pt>
                <c:pt idx="3">
                  <c:v>0</c:v>
                </c:pt>
                <c:pt idx="4">
                  <c:v>0</c:v>
                </c:pt>
                <c:pt idx="5">
                  <c:v>0</c:v>
                </c:pt>
                <c:pt idx="6">
                  <c:v>10000</c:v>
                </c:pt>
                <c:pt idx="7">
                  <c:v>14000</c:v>
                </c:pt>
                <c:pt idx="8">
                  <c:v>20000</c:v>
                </c:pt>
                <c:pt idx="9">
                  <c:v>26000</c:v>
                </c:pt>
                <c:pt idx="10">
                  <c:v>32000</c:v>
                </c:pt>
                <c:pt idx="11">
                  <c:v>38000</c:v>
                </c:pt>
                <c:pt idx="12">
                  <c:v>46000</c:v>
                </c:pt>
                <c:pt idx="13">
                  <c:v>48000</c:v>
                </c:pt>
                <c:pt idx="14">
                  <c:v>46000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Colony!$M$59:$M$82</c:f>
              <c:numCache>
                <c:formatCode>General</c:formatCode>
                <c:ptCount val="24"/>
                <c:pt idx="0">
                  <c:v>0</c:v>
                </c:pt>
                <c:pt idx="1">
                  <c:v>0</c:v>
                </c:pt>
                <c:pt idx="2">
                  <c:v>0</c:v>
                </c:pt>
                <c:pt idx="3">
                  <c:v>0</c:v>
                </c:pt>
                <c:pt idx="4">
                  <c:v>0</c:v>
                </c:pt>
                <c:pt idx="5">
                  <c:v>0</c:v>
                </c:pt>
                <c:pt idx="6">
                  <c:v>11250</c:v>
                </c:pt>
                <c:pt idx="7">
                  <c:v>22500</c:v>
                </c:pt>
                <c:pt idx="8">
                  <c:v>31500</c:v>
                </c:pt>
                <c:pt idx="9">
                  <c:v>31500</c:v>
                </c:pt>
                <c:pt idx="10">
                  <c:v>29250</c:v>
                </c:pt>
                <c:pt idx="11">
                  <c:v>27000</c:v>
                </c:pt>
                <c:pt idx="12">
                  <c:v>24750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Colony!$C$59:$C$82</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93242752"/>
        <c:axId val="293244288"/>
      </c:lineChart>
      <c:dateAx>
        <c:axId val="293242752"/>
        <c:scaling>
          <c:orientation val="minMax"/>
        </c:scaling>
        <c:delete val="0"/>
        <c:axPos val="b"/>
        <c:numFmt formatCode="[$-409]d\-mmm;@" sourceLinked="1"/>
        <c:majorTickMark val="cross"/>
        <c:minorTickMark val="none"/>
        <c:tickLblPos val="nextTo"/>
        <c:txPr>
          <a:bodyPr/>
          <a:lstStyle/>
          <a:p>
            <a:pPr>
              <a:defRPr b="1"/>
            </a:pPr>
            <a:endParaRPr lang="en-US"/>
          </a:p>
        </c:txPr>
        <c:crossAx val="293244288"/>
        <c:crosses val="autoZero"/>
        <c:auto val="1"/>
        <c:lblOffset val="100"/>
        <c:baseTimeUnit val="days"/>
      </c:dateAx>
      <c:valAx>
        <c:axId val="29324428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68E-2"/>
              <c:y val="0.19237848906232813"/>
            </c:manualLayout>
          </c:layout>
          <c:overlay val="0"/>
        </c:title>
        <c:numFmt formatCode="#,##0" sourceLinked="0"/>
        <c:majorTickMark val="out"/>
        <c:minorTickMark val="none"/>
        <c:tickLblPos val="nextTo"/>
        <c:txPr>
          <a:bodyPr/>
          <a:lstStyle/>
          <a:p>
            <a:pPr>
              <a:defRPr sz="800"/>
            </a:pPr>
            <a:endParaRPr lang="en-US"/>
          </a:p>
        </c:txPr>
        <c:crossAx val="293242752"/>
        <c:crosses val="autoZero"/>
        <c:crossBetween val="midCat"/>
      </c:valAx>
    </c:plotArea>
    <c:legend>
      <c:legendPos val="r"/>
      <c:layout>
        <c:manualLayout>
          <c:xMode val="edge"/>
          <c:yMode val="edge"/>
          <c:x val="0.11786102598671901"/>
          <c:y val="5.0022794769701409E-2"/>
          <c:w val="0.26473058514862957"/>
          <c:h val="0.4182747960951641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1.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366889</xdr:colOff>
      <xdr:row>2</xdr:row>
      <xdr:rowOff>484188</xdr:rowOff>
    </xdr:from>
    <xdr:to>
      <xdr:col>29</xdr:col>
      <xdr:colOff>63499</xdr:colOff>
      <xdr:row>18</xdr:row>
      <xdr:rowOff>148167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66043" y="10790767"/>
          <a:ext cx="2561433" cy="318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138</xdr:col>
      <xdr:colOff>0</xdr:colOff>
      <xdr:row>59</xdr:row>
      <xdr:rowOff>63500</xdr:rowOff>
    </xdr:from>
    <xdr:to>
      <xdr:col>156</xdr:col>
      <xdr:colOff>592665</xdr:colOff>
      <xdr:row>66</xdr:row>
      <xdr:rowOff>31750</xdr:rowOff>
    </xdr:to>
    <xdr:sp macro="" textlink="">
      <xdr:nvSpPr>
        <xdr:cNvPr id="5" name="TextBox 4"/>
        <xdr:cNvSpPr txBox="1"/>
      </xdr:nvSpPr>
      <xdr:spPr>
        <a:xfrm>
          <a:off x="68713350" y="10655300"/>
          <a:ext cx="11917890" cy="110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142</xdr:col>
      <xdr:colOff>42333</xdr:colOff>
      <xdr:row>64</xdr:row>
      <xdr:rowOff>116417</xdr:rowOff>
    </xdr:from>
    <xdr:ext cx="184731" cy="264560"/>
    <xdr:sp macro="" textlink="">
      <xdr:nvSpPr>
        <xdr:cNvPr id="6" name="TextBox 5"/>
        <xdr:cNvSpPr txBox="1"/>
      </xdr:nvSpPr>
      <xdr:spPr>
        <a:xfrm>
          <a:off x="71546508" y="115178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8" name="TextBox 7"/>
        <xdr:cNvSpPr txBox="1"/>
      </xdr:nvSpPr>
      <xdr:spPr>
        <a:xfrm>
          <a:off x="4267200" y="3890786"/>
          <a:ext cx="12615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67</xdr:col>
      <xdr:colOff>539750</xdr:colOff>
      <xdr:row>78</xdr:row>
      <xdr:rowOff>74083</xdr:rowOff>
    </xdr:from>
    <xdr:to>
      <xdr:col>74</xdr:col>
      <xdr:colOff>31750</xdr:colOff>
      <xdr:row>80</xdr:row>
      <xdr:rowOff>84667</xdr:rowOff>
    </xdr:to>
    <xdr:cxnSp macro="">
      <xdr:nvCxnSpPr>
        <xdr:cNvPr id="9" name="Straight Arrow Connector 8"/>
        <xdr:cNvCxnSpPr/>
      </xdr:nvCxnSpPr>
      <xdr:spPr>
        <a:xfrm flipH="1" flipV="1">
          <a:off x="19008725" y="13742458"/>
          <a:ext cx="4035425"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190500</xdr:colOff>
      <xdr:row>86</xdr:row>
      <xdr:rowOff>83344</xdr:rowOff>
    </xdr:from>
    <xdr:to>
      <xdr:col>94</xdr:col>
      <xdr:colOff>451909</xdr:colOff>
      <xdr:row>106</xdr:row>
      <xdr:rowOff>98425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49389</xdr:rowOff>
    </xdr:from>
    <xdr:to>
      <xdr:col>28</xdr:col>
      <xdr:colOff>352777</xdr:colOff>
      <xdr:row>2</xdr:row>
      <xdr:rowOff>417915</xdr:rowOff>
    </xdr:to>
    <xdr:sp macro="" textlink="">
      <xdr:nvSpPr>
        <xdr:cNvPr id="14" name="TextBox 13"/>
        <xdr:cNvSpPr txBox="1"/>
      </xdr:nvSpPr>
      <xdr:spPr>
        <a:xfrm>
          <a:off x="183444" y="49389"/>
          <a:ext cx="10985500" cy="6930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Randy's Varroa Model v 26 Sep 2020.  Best</a:t>
          </a:r>
          <a:r>
            <a:rPr lang="en-US" sz="1200" b="1" baseline="0"/>
            <a:t> run  in</a:t>
          </a:r>
          <a:r>
            <a:rPr lang="en-US" sz="1200" b="1"/>
            <a:t> Excel.  Set zoom (lower right) to 90%, then view in "Full screen."  Input starting values into  green cells</a:t>
          </a:r>
          <a:r>
            <a:rPr lang="en-US" sz="1200" b="1" baseline="0"/>
            <a:t> for </a:t>
          </a:r>
          <a:r>
            <a:rPr lang="en-US" sz="1200" b="1"/>
            <a:t>Colony Type, starting</a:t>
          </a:r>
          <a:r>
            <a:rPr lang="en-US" sz="1200" b="1" baseline="0"/>
            <a:t> m</a:t>
          </a:r>
          <a:r>
            <a:rPr lang="en-US" sz="1200" b="1"/>
            <a:t>ite population (adjust to match your measured</a:t>
          </a:r>
          <a:r>
            <a:rPr lang="en-US" sz="1200" b="1" baseline="0"/>
            <a:t> </a:t>
          </a:r>
          <a:r>
            <a:rPr lang="en-US" sz="1200" b="1"/>
            <a:t>alcohol wash count at any date), and estimated mite immigration  (scroll</a:t>
          </a:r>
          <a:r>
            <a:rPr lang="en-US" sz="1200" b="1" baseline="0"/>
            <a:t> down for details)</a:t>
          </a:r>
          <a:r>
            <a:rPr lang="en-US" sz="1200" b="1"/>
            <a:t>.  Then</a:t>
          </a:r>
          <a:r>
            <a:rPr lang="en-US" sz="1200" b="1" baseline="0"/>
            <a:t> enter mite reductions from treatment into the horizontal yellow cells by date in order to plan your mite management strategy.  For advanced users,  c</a:t>
          </a:r>
          <a:r>
            <a:rPr lang="en-US" sz="1200" b="1"/>
            <a:t>ustomization</a:t>
          </a:r>
          <a:r>
            <a:rPr lang="en-US" sz="1200" b="1" baseline="0"/>
            <a:t> details to right.</a:t>
          </a:r>
          <a:endParaRPr lang="en-US" sz="1200" b="1"/>
        </a:p>
      </xdr:txBody>
    </xdr:sp>
    <xdr:clientData/>
  </xdr:twoCellAnchor>
  <xdr:twoCellAnchor>
    <xdr:from>
      <xdr:col>18</xdr:col>
      <xdr:colOff>261054</xdr:colOff>
      <xdr:row>2</xdr:row>
      <xdr:rowOff>606777</xdr:rowOff>
    </xdr:from>
    <xdr:to>
      <xdr:col>26</xdr:col>
      <xdr:colOff>165804</xdr:colOff>
      <xdr:row>2</xdr:row>
      <xdr:rowOff>1104193</xdr:rowOff>
    </xdr:to>
    <xdr:sp macro="" textlink="">
      <xdr:nvSpPr>
        <xdr:cNvPr id="17" name="TextBox 16"/>
        <xdr:cNvSpPr txBox="1"/>
      </xdr:nvSpPr>
      <xdr:spPr>
        <a:xfrm>
          <a:off x="7408332" y="931333"/>
          <a:ext cx="2839861"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t>Ver. 26 Sep 2020 </a:t>
          </a:r>
          <a:r>
            <a:rPr lang="en-US" sz="1100">
              <a:solidFill>
                <a:schemeClr val="dk1"/>
              </a:solidFill>
              <a:effectLst/>
              <a:latin typeface="+mn-lt"/>
              <a:ea typeface="+mn-ea"/>
              <a:cs typeface="+mn-cs"/>
            </a:rPr>
            <a:t>© ScientificBeekeeping.com</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Be sure to use</a:t>
          </a:r>
          <a:r>
            <a:rPr lang="en-US" sz="1100" baseline="0">
              <a:solidFill>
                <a:schemeClr val="dk1"/>
              </a:solidFill>
              <a:effectLst/>
              <a:latin typeface="+mn-lt"/>
              <a:ea typeface="+mn-ea"/>
              <a:cs typeface="+mn-cs"/>
            </a:rPr>
            <a:t> the latest version!</a:t>
          </a:r>
          <a:r>
            <a:rPr lang="en-US" sz="1100">
              <a:solidFill>
                <a:schemeClr val="dk1"/>
              </a:solidFill>
              <a:effectLst/>
              <a:latin typeface="+mn-lt"/>
              <a:ea typeface="+mn-ea"/>
              <a:cs typeface="+mn-cs"/>
            </a:rPr>
            <a:t> </a:t>
          </a:r>
          <a:endParaRPr lang="en-US" sz="1100"/>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8" name="TextBox 17"/>
        <xdr:cNvSpPr txBox="1"/>
      </xdr:nvSpPr>
      <xdr:spPr>
        <a:xfrm>
          <a:off x="183444" y="4903611"/>
          <a:ext cx="10999612" cy="719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9" name="TextBox 18"/>
        <xdr:cNvSpPr txBox="1"/>
      </xdr:nvSpPr>
      <xdr:spPr>
        <a:xfrm>
          <a:off x="5679722" y="5651500"/>
          <a:ext cx="6279445" cy="6561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TREATMENT EFFICACIES </a:t>
          </a:r>
          <a:r>
            <a:rPr lang="en-US" sz="1100"/>
            <a:t>(overall mite reduction).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29</xdr:col>
      <xdr:colOff>253998</xdr:colOff>
      <xdr:row>1</xdr:row>
      <xdr:rowOff>119943</xdr:rowOff>
    </xdr:from>
    <xdr:to>
      <xdr:col>50</xdr:col>
      <xdr:colOff>239889</xdr:colOff>
      <xdr:row>28</xdr:row>
      <xdr:rowOff>0</xdr:rowOff>
    </xdr:to>
    <xdr:sp macro="" textlink="">
      <xdr:nvSpPr>
        <xdr:cNvPr id="20" name="TextBox 19"/>
        <xdr:cNvSpPr txBox="1"/>
      </xdr:nvSpPr>
      <xdr:spPr>
        <a:xfrm>
          <a:off x="11437054" y="282221"/>
          <a:ext cx="7443613" cy="52281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After two decades struggling  with varroa, I realized that I needed to deeply</a:t>
          </a:r>
          <a:r>
            <a:rPr lang="en-US" sz="1100" baseline="0"/>
            <a:t> understand varroa population dynamics, relative to climate, colony strength and amount of brood, mite influx from drift, and the ability of bees to affect varroa reproductive success.  To that end I reviewed nearly every published study on varroa, and spent a year creating an accurate predictive model of varroa buildup  in a colony, and the effects of treatments, swarming, and other management techniques -- confirmed by alcohol wash data from my own commercial operation, as well as feedback from beekeepers worldwide.    </a:t>
          </a:r>
        </a:p>
        <a:p>
          <a:endParaRPr lang="en-US" sz="1100" baseline="0"/>
        </a:p>
        <a:p>
          <a:r>
            <a:rPr lang="en-US" sz="1100" baseline="0"/>
            <a:t>I created this model to be user-friendly to the beekeper, yet  of use to bee biologists.  </a:t>
          </a:r>
          <a:r>
            <a:rPr lang="en-US" sz="1100" baseline="0">
              <a:solidFill>
                <a:schemeClr val="dk1"/>
              </a:solidFill>
              <a:effectLst/>
              <a:latin typeface="+mn-lt"/>
              <a:ea typeface="+mn-ea"/>
              <a:cs typeface="+mn-cs"/>
            </a:rPr>
            <a:t>This simple model makes roughly 1500 calculations each time you enter a value, and is fully customizable.  I </a:t>
          </a:r>
          <a:r>
            <a:rPr lang="en-US" sz="1100" baseline="0"/>
            <a:t> continually  revise and update this model, so always use the latest version.  </a:t>
          </a:r>
        </a:p>
        <a:p>
          <a:endParaRPr lang="en-US" sz="1100"/>
        </a:p>
        <a:p>
          <a:r>
            <a:rPr lang="en-US" sz="1100" b="1"/>
            <a:t>Basic assumptions, adjustments, and calculations for r values </a:t>
          </a:r>
        </a:p>
        <a:p>
          <a:endParaRPr lang="en-US" sz="1100"/>
        </a:p>
        <a:p>
          <a:r>
            <a:rPr lang="en-US" sz="1100"/>
            <a:t>Since is is nearly</a:t>
          </a:r>
          <a:r>
            <a:rPr lang="en-US" sz="1100" baseline="0"/>
            <a:t> impossible to accurately predict the precise effects of varroa and virus buildup upon colony population dynamics, the </a:t>
          </a:r>
          <a:r>
            <a:rPr lang="en-US" sz="1100"/>
            <a:t>model assumes  that mites will be managed to never exceed  a level that affects the colony.</a:t>
          </a:r>
          <a:r>
            <a:rPr lang="en-US" sz="1100" baseline="0"/>
            <a:t>  I made no attempt to reflect the effect of mite buildup upon  colony health, other than the eventual crash of the colony.</a:t>
          </a:r>
          <a:r>
            <a:rPr lang="en-US" sz="1100"/>
            <a:t>   My own field data  indicate that a proportion of colonies  will exhibit mite  buildup rates far outside the mean (either way)--thus please assume that the simulations reflect median values</a:t>
          </a: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The basic assumption of the model is that the rate of cell invasion by foundress mites is a matter of chance, dependent upon the ratio of 5-day larvae to adult bees.  I used Willem Boot's data to arrive at a basic regression equation, (see the comment at the top of column BX), and then drew most of my other variables from the excellent model proposed by Stephen Martin,</a:t>
          </a:r>
          <a:r>
            <a:rPr lang="en-US" sz="1100" baseline="0"/>
            <a:t> </a:t>
          </a:r>
          <a:r>
            <a:rPr lang="en-US" sz="1100"/>
            <a:t>to whom I'm immensely appreciative) ,</a:t>
          </a:r>
          <a:r>
            <a:rPr lang="en-US" sz="1100" baseline="0"/>
            <a:t> and </a:t>
          </a:r>
          <a:r>
            <a:rPr lang="en-US" sz="1100"/>
            <a:t>added mite immigration and exodus.   </a:t>
          </a:r>
          <a:r>
            <a:rPr lang="en-US" sz="1100">
              <a:solidFill>
                <a:schemeClr val="dk1"/>
              </a:solidFill>
              <a:effectLst/>
              <a:latin typeface="+mn-lt"/>
              <a:ea typeface="+mn-ea"/>
              <a:cs typeface="+mn-cs"/>
            </a:rPr>
            <a:t>The root assumption is that foundress mites invade cells at the rate of y=-5*ln(x)+5,with x being the brood: adult bee ratio, and y equaling the number of days of phoresy.  </a:t>
          </a:r>
          <a:r>
            <a:rPr lang="en-US" sz="1100"/>
            <a:t> I further used data from Lloyd Harris and Katie Lee to come up with additional values, and then tested the model against my own field data, as well as data from Jeff Harris, Bob Danka (and all) from the Baton Rouge lab, Eva Frey, and a number of other researchers to whom I owe a great debt of gratitude.   I've added explanatory comments to a number of cells.</a:t>
          </a:r>
        </a:p>
        <a:p>
          <a:pPr marL="0" marR="0" indent="0" defTabSz="914400" eaLnBrk="1" fontAlgn="auto" latinLnBrk="0" hangingPunct="1">
            <a:lnSpc>
              <a:spcPct val="100000"/>
            </a:lnSpc>
            <a:spcBef>
              <a:spcPts val="0"/>
            </a:spcBef>
            <a:spcAft>
              <a:spcPts val="0"/>
            </a:spcAft>
            <a:buClrTx/>
            <a:buSzTx/>
            <a:buFontTx/>
            <a:buNone/>
            <a:tabLst/>
            <a:defRPr/>
          </a:pPr>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I offer this model to the beekeeping and scientific</a:t>
          </a:r>
          <a:r>
            <a:rPr lang="en-US" sz="1100" baseline="0"/>
            <a:t> community, and invite suggestions for improvement.</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Randy Oliver</a:t>
          </a:r>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360012</xdr:colOff>
      <xdr:row>19</xdr:row>
      <xdr:rowOff>3640</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647700"/>
          <a:ext cx="4017612" cy="2432515"/>
        </a:xfrm>
        <a:prstGeom prst="rect">
          <a:avLst/>
        </a:prstGeom>
      </xdr:spPr>
    </xdr:pic>
    <xdr:clientData/>
  </xdr:twoCellAnchor>
  <xdr:twoCellAnchor>
    <xdr:from>
      <xdr:col>1</xdr:col>
      <xdr:colOff>12700</xdr:colOff>
      <xdr:row>18</xdr:row>
      <xdr:rowOff>139700</xdr:rowOff>
    </xdr:from>
    <xdr:to>
      <xdr:col>7</xdr:col>
      <xdr:colOff>31750</xdr:colOff>
      <xdr:row>26</xdr:row>
      <xdr:rowOff>139700</xdr:rowOff>
    </xdr:to>
    <xdr:sp macro="" textlink="">
      <xdr:nvSpPr>
        <xdr:cNvPr id="2" name="TextBox 1"/>
        <xdr:cNvSpPr txBox="1"/>
      </xdr:nvSpPr>
      <xdr:spPr>
        <a:xfrm>
          <a:off x="622300" y="2997200"/>
          <a:ext cx="3676650"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Karl Kunert &amp; Karl Crailsheim (1988) Seasonal Changes in Carbohydrate, </a:t>
          </a:r>
        </a:p>
        <a:p>
          <a:r>
            <a:rPr lang="en-US" sz="1100" b="0" i="0">
              <a:solidFill>
                <a:schemeClr val="dk1"/>
              </a:solidFill>
              <a:effectLst/>
              <a:latin typeface="+mn-lt"/>
              <a:ea typeface="+mn-ea"/>
              <a:cs typeface="+mn-cs"/>
            </a:rPr>
            <a:t>Lipid and Protein Content in Emerging Worker Honeybees and their Mortality, Journal of Apicultural </a:t>
          </a:r>
        </a:p>
        <a:p>
          <a:r>
            <a:rPr lang="en-US" sz="1100" b="0" i="0">
              <a:solidFill>
                <a:schemeClr val="dk1"/>
              </a:solidFill>
              <a:effectLst/>
              <a:latin typeface="+mn-lt"/>
              <a:ea typeface="+mn-ea"/>
              <a:cs typeface="+mn-cs"/>
            </a:rPr>
            <a:t>Research, 27:1, 13-21, DOI: </a:t>
          </a:r>
        </a:p>
        <a:p>
          <a:r>
            <a:rPr lang="en-US" sz="1100" b="0" i="0">
              <a:solidFill>
                <a:schemeClr val="dk1"/>
              </a:solidFill>
              <a:effectLst/>
              <a:latin typeface="+mn-lt"/>
              <a:ea typeface="+mn-ea"/>
              <a:cs typeface="+mn-cs"/>
            </a:rPr>
            <a:t>10.1080/00218839.1988.11100775</a:t>
          </a:r>
        </a:p>
        <a:p>
          <a:r>
            <a:rPr lang="en-US" sz="1100" b="0" i="0">
              <a:solidFill>
                <a:schemeClr val="dk1"/>
              </a:solidFill>
              <a:effectLst/>
              <a:latin typeface="+mn-lt"/>
              <a:ea typeface="+mn-ea"/>
              <a:cs typeface="+mn-cs"/>
            </a:rPr>
            <a:t>Data</a:t>
          </a:r>
          <a:r>
            <a:rPr lang="en-US" sz="1100" b="0" i="0" baseline="0">
              <a:solidFill>
                <a:schemeClr val="dk1"/>
              </a:solidFill>
              <a:effectLst/>
              <a:latin typeface="+mn-lt"/>
              <a:ea typeface="+mn-ea"/>
              <a:cs typeface="+mn-cs"/>
            </a:rPr>
            <a:t> from </a:t>
          </a:r>
          <a:r>
            <a:rPr lang="en-US" sz="1100" b="0" i="0">
              <a:solidFill>
                <a:schemeClr val="dk1"/>
              </a:solidFill>
              <a:effectLst/>
              <a:latin typeface="+mn-lt"/>
              <a:ea typeface="+mn-ea"/>
              <a:cs typeface="+mn-cs"/>
            </a:rPr>
            <a:t>Styria (Austria).</a:t>
          </a:r>
        </a:p>
        <a:p>
          <a:endParaRPr lang="en-US" sz="1100" b="0" i="0">
            <a:solidFill>
              <a:schemeClr val="dk1"/>
            </a:solidFill>
            <a:effectLst/>
            <a:latin typeface="+mn-lt"/>
            <a:ea typeface="+mn-ea"/>
            <a:cs typeface="+mn-cs"/>
          </a:endParaRPr>
        </a:p>
        <a:p>
          <a:endParaRPr lang="en-US" sz="1100"/>
        </a:p>
      </xdr:txBody>
    </xdr:sp>
    <xdr:clientData/>
  </xdr:twoCellAnchor>
  <xdr:twoCellAnchor editAs="oneCell">
    <xdr:from>
      <xdr:col>9</xdr:col>
      <xdr:colOff>0</xdr:colOff>
      <xdr:row>4</xdr:row>
      <xdr:rowOff>0</xdr:rowOff>
    </xdr:from>
    <xdr:to>
      <xdr:col>18</xdr:col>
      <xdr:colOff>456457</xdr:colOff>
      <xdr:row>32</xdr:row>
      <xdr:rowOff>66100</xdr:rowOff>
    </xdr:to>
    <xdr:pic>
      <xdr:nvPicPr>
        <xdr:cNvPr id="5" name="Picture 4"/>
        <xdr:cNvPicPr>
          <a:picLocks noChangeAspect="1"/>
        </xdr:cNvPicPr>
      </xdr:nvPicPr>
      <xdr:blipFill>
        <a:blip xmlns:r="http://schemas.openxmlformats.org/officeDocument/2006/relationships" r:embed="rId2"/>
        <a:stretch>
          <a:fillRect/>
        </a:stretch>
      </xdr:blipFill>
      <xdr:spPr>
        <a:xfrm>
          <a:off x="5486400" y="647700"/>
          <a:ext cx="5942857" cy="4600000"/>
        </a:xfrm>
        <a:prstGeom prst="rect">
          <a:avLst/>
        </a:prstGeom>
      </xdr:spPr>
    </xdr:pic>
    <xdr:clientData/>
  </xdr:twoCellAnchor>
  <xdr:twoCellAnchor>
    <xdr:from>
      <xdr:col>9</xdr:col>
      <xdr:colOff>247650</xdr:colOff>
      <xdr:row>32</xdr:row>
      <xdr:rowOff>76200</xdr:rowOff>
    </xdr:from>
    <xdr:to>
      <xdr:col>18</xdr:col>
      <xdr:colOff>361950</xdr:colOff>
      <xdr:row>35</xdr:row>
      <xdr:rowOff>66675</xdr:rowOff>
    </xdr:to>
    <xdr:sp macro="" textlink="">
      <xdr:nvSpPr>
        <xdr:cNvPr id="6" name="TextBox 5"/>
        <xdr:cNvSpPr txBox="1"/>
      </xdr:nvSpPr>
      <xdr:spPr>
        <a:xfrm>
          <a:off x="5734050" y="5257800"/>
          <a:ext cx="56007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Requier, F, et al (2017) The carry-over effects of pollen shortage decrease the</a:t>
          </a:r>
        </a:p>
        <a:p>
          <a:r>
            <a:rPr lang="en-US" sz="1100"/>
            <a:t>survival of honeybee colonies in farmlands. J. Appl. Ecol.  54: 1161–1170.</a:t>
          </a:r>
        </a:p>
      </xdr:txBody>
    </xdr:sp>
    <xdr:clientData/>
  </xdr:twoCellAnchor>
  <xdr:twoCellAnchor>
    <xdr:from>
      <xdr:col>1</xdr:col>
      <xdr:colOff>19050</xdr:colOff>
      <xdr:row>37</xdr:row>
      <xdr:rowOff>6350</xdr:rowOff>
    </xdr:from>
    <xdr:to>
      <xdr:col>8</xdr:col>
      <xdr:colOff>38100</xdr:colOff>
      <xdr:row>47</xdr:row>
      <xdr:rowOff>19050</xdr:rowOff>
    </xdr:to>
    <xdr:sp macro="" textlink="">
      <xdr:nvSpPr>
        <xdr:cNvPr id="3" name="TextBox 2"/>
        <xdr:cNvSpPr txBox="1"/>
      </xdr:nvSpPr>
      <xdr:spPr>
        <a:xfrm>
          <a:off x="628650" y="5880100"/>
          <a:ext cx="428625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t>Mite</a:t>
          </a:r>
          <a:r>
            <a:rPr lang="en-US" b="1" baseline="0"/>
            <a:t> mortality rate adjustment</a:t>
          </a:r>
          <a:endParaRPr lang="en-US" b="1"/>
        </a:p>
        <a:p>
          <a:r>
            <a:rPr lang="en-US"/>
            <a:t>The daily death rate of adult female mites during periods when brood was emerging was 0.069 ± 0.015 mites per day in 1995 and 0.054 ± 0.026 mites per day in 1996. When no brood was emerging, i.e. mortality during phoretic period, the daily death rates were 0.0045 ± 0.0017 mites per day in 1995 and 0.0076 ± 0.0052 mites per day in 1996.  Martin 1997</a:t>
          </a:r>
          <a:r>
            <a:rPr lang="en-US" baseline="0"/>
            <a:t> JAR </a:t>
          </a:r>
          <a:r>
            <a:rPr lang="en-US"/>
            <a:t>36(3/4): 113–123</a:t>
          </a:r>
          <a:endParaRPr lang="en-US" sz="1100"/>
        </a:p>
      </xdr:txBody>
    </xdr:sp>
    <xdr:clientData/>
  </xdr:twoCellAnchor>
  <xdr:twoCellAnchor editAs="oneCell">
    <xdr:from>
      <xdr:col>9</xdr:col>
      <xdr:colOff>0</xdr:colOff>
      <xdr:row>37</xdr:row>
      <xdr:rowOff>0</xdr:rowOff>
    </xdr:from>
    <xdr:to>
      <xdr:col>13</xdr:col>
      <xdr:colOff>362094</xdr:colOff>
      <xdr:row>64</xdr:row>
      <xdr:rowOff>108176</xdr:rowOff>
    </xdr:to>
    <xdr:pic>
      <xdr:nvPicPr>
        <xdr:cNvPr id="7" name="Picture 6"/>
        <xdr:cNvPicPr>
          <a:picLocks noChangeAspect="1"/>
        </xdr:cNvPicPr>
      </xdr:nvPicPr>
      <xdr:blipFill>
        <a:blip xmlns:r="http://schemas.openxmlformats.org/officeDocument/2006/relationships" r:embed="rId3"/>
        <a:stretch>
          <a:fillRect/>
        </a:stretch>
      </xdr:blipFill>
      <xdr:spPr>
        <a:xfrm>
          <a:off x="5486400" y="5873750"/>
          <a:ext cx="2800494" cy="4394426"/>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85725</xdr:colOff>
      <xdr:row>29</xdr:row>
      <xdr:rowOff>2428874</xdr:rowOff>
    </xdr:from>
    <xdr:to>
      <xdr:col>1</xdr:col>
      <xdr:colOff>5298281</xdr:colOff>
      <xdr:row>53</xdr:row>
      <xdr:rowOff>119061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59533</xdr:colOff>
      <xdr:row>171</xdr:row>
      <xdr:rowOff>47625</xdr:rowOff>
    </xdr:from>
    <xdr:to>
      <xdr:col>1</xdr:col>
      <xdr:colOff>5322095</xdr:colOff>
      <xdr:row>194</xdr:row>
      <xdr:rowOff>33337</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199</xdr:row>
      <xdr:rowOff>35719</xdr:rowOff>
    </xdr:from>
    <xdr:to>
      <xdr:col>1</xdr:col>
      <xdr:colOff>5298281</xdr:colOff>
      <xdr:row>222</xdr:row>
      <xdr:rowOff>21430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254</xdr:row>
      <xdr:rowOff>0</xdr:rowOff>
    </xdr:from>
    <xdr:to>
      <xdr:col>1</xdr:col>
      <xdr:colOff>5262562</xdr:colOff>
      <xdr:row>276</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114</xdr:row>
      <xdr:rowOff>0</xdr:rowOff>
    </xdr:from>
    <xdr:to>
      <xdr:col>1</xdr:col>
      <xdr:colOff>5212556</xdr:colOff>
      <xdr:row>137</xdr:row>
      <xdr:rowOff>119062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114300</xdr:colOff>
      <xdr:row>86</xdr:row>
      <xdr:rowOff>9525</xdr:rowOff>
    </xdr:from>
    <xdr:to>
      <xdr:col>1</xdr:col>
      <xdr:colOff>5326856</xdr:colOff>
      <xdr:row>109</xdr:row>
      <xdr:rowOff>128587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58</xdr:row>
      <xdr:rowOff>0</xdr:rowOff>
    </xdr:from>
    <xdr:to>
      <xdr:col>1</xdr:col>
      <xdr:colOff>5212556</xdr:colOff>
      <xdr:row>83</xdr:row>
      <xdr:rowOff>23812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0</xdr:rowOff>
    </xdr:from>
    <xdr:to>
      <xdr:col>1</xdr:col>
      <xdr:colOff>5212556</xdr:colOff>
      <xdr:row>165</xdr:row>
      <xdr:rowOff>119062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226</xdr:row>
      <xdr:rowOff>0</xdr:rowOff>
    </xdr:from>
    <xdr:to>
      <xdr:col>1</xdr:col>
      <xdr:colOff>5212556</xdr:colOff>
      <xdr:row>249</xdr:row>
      <xdr:rowOff>119062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523874</xdr:colOff>
      <xdr:row>1</xdr:row>
      <xdr:rowOff>111124</xdr:rowOff>
    </xdr:from>
    <xdr:to>
      <xdr:col>48</xdr:col>
      <xdr:colOff>603249</xdr:colOff>
      <xdr:row>28</xdr:row>
      <xdr:rowOff>107949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12701</xdr:colOff>
      <xdr:row>0</xdr:row>
      <xdr:rowOff>57150</xdr:rowOff>
    </xdr:from>
    <xdr:to>
      <xdr:col>2</xdr:col>
      <xdr:colOff>3175</xdr:colOff>
      <xdr:row>20</xdr:row>
      <xdr:rowOff>78191</xdr:rowOff>
    </xdr:to>
    <xdr:pic>
      <xdr:nvPicPr>
        <xdr:cNvPr id="6" name="Picture 5"/>
        <xdr:cNvPicPr>
          <a:picLocks noChangeAspect="1"/>
        </xdr:cNvPicPr>
      </xdr:nvPicPr>
      <xdr:blipFill>
        <a:blip xmlns:r="http://schemas.openxmlformats.org/officeDocument/2006/relationships" r:embed="rId11"/>
        <a:stretch>
          <a:fillRect/>
        </a:stretch>
      </xdr:blipFill>
      <xdr:spPr>
        <a:xfrm>
          <a:off x="120651" y="57150"/>
          <a:ext cx="5629274" cy="3308754"/>
        </a:xfrm>
        <a:prstGeom prst="rect">
          <a:avLst/>
        </a:prstGeom>
      </xdr:spPr>
    </xdr:pic>
    <xdr:clientData/>
  </xdr:twoCellAnchor>
  <xdr:twoCellAnchor>
    <xdr:from>
      <xdr:col>1</xdr:col>
      <xdr:colOff>0</xdr:colOff>
      <xdr:row>166</xdr:row>
      <xdr:rowOff>0</xdr:rowOff>
    </xdr:from>
    <xdr:to>
      <xdr:col>3</xdr:col>
      <xdr:colOff>785812</xdr:colOff>
      <xdr:row>168</xdr:row>
      <xdr:rowOff>23813</xdr:rowOff>
    </xdr:to>
    <xdr:sp macro="" textlink="">
      <xdr:nvSpPr>
        <xdr:cNvPr id="18" name="TextBox 17"/>
        <xdr:cNvSpPr txBox="1"/>
      </xdr:nvSpPr>
      <xdr:spPr>
        <a:xfrm>
          <a:off x="107156" y="38695313"/>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Andrew Munn, Manitoba, for the adustment of the  bee and brood figures.</a:t>
          </a:r>
          <a:endParaRPr lang="en-US" sz="1100"/>
        </a:p>
      </xdr:txBody>
    </xdr:sp>
    <xdr:clientData/>
  </xdr:twoCellAnchor>
  <xdr:twoCellAnchor>
    <xdr:from>
      <xdr:col>1</xdr:col>
      <xdr:colOff>0</xdr:colOff>
      <xdr:row>138</xdr:row>
      <xdr:rowOff>0</xdr:rowOff>
    </xdr:from>
    <xdr:to>
      <xdr:col>3</xdr:col>
      <xdr:colOff>785812</xdr:colOff>
      <xdr:row>140</xdr:row>
      <xdr:rowOff>23813</xdr:rowOff>
    </xdr:to>
    <xdr:sp macro="" textlink="">
      <xdr:nvSpPr>
        <xdr:cNvPr id="20" name="TextBox 19"/>
        <xdr:cNvSpPr txBox="1"/>
      </xdr:nvSpPr>
      <xdr:spPr>
        <a:xfrm>
          <a:off x="107156" y="31765875"/>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Rob Stone, Orange County, Calif for the bee and brood figures.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361950</xdr:colOff>
      <xdr:row>2</xdr:row>
      <xdr:rowOff>101600</xdr:rowOff>
    </xdr:from>
    <xdr:to>
      <xdr:col>15</xdr:col>
      <xdr:colOff>501650</xdr:colOff>
      <xdr:row>34</xdr:row>
      <xdr:rowOff>50800</xdr:rowOff>
    </xdr:to>
    <xdr:sp macro="" textlink="">
      <xdr:nvSpPr>
        <xdr:cNvPr id="2" name="TextBox 1"/>
        <xdr:cNvSpPr txBox="1"/>
      </xdr:nvSpPr>
      <xdr:spPr>
        <a:xfrm>
          <a:off x="361950" y="419100"/>
          <a:ext cx="928370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a:t>
          </a:r>
          <a:r>
            <a:rPr lang="en-US" sz="1100" b="1" baseline="0"/>
            <a:t> Randy's Varroa Model</a:t>
          </a:r>
        </a:p>
        <a:p>
          <a:r>
            <a:rPr lang="en-US" sz="1100" b="0" baseline="0"/>
            <a:t>The beekeeping and bee research communities lacked a user-friendly, accurate model for projecting varroa population growth in a hive, that allowed for customization and the application of various treatments.</a:t>
          </a:r>
        </a:p>
        <a:p>
          <a:r>
            <a:rPr lang="en-US" sz="1100" b="0" baseline="0"/>
            <a:t>To that end, I spent a year to create a simple, completely customizable, model in Excel, with the main intent that it could be used by beekeepers to develop varroa management plans specific to their location and management style.  The user can also adjust every aspect of varroa reproductive success and honey bee resistance mechanisms to the mite.</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t>I simplified the model by not attempting to account for the effects of varroa and associated viruses on the colony -- other than for the colony's eventual collapse once the mite infestation rate exceeded a determined level (under the assumption that varroa would be controlled before it reached that level).  The model accounts for every aspect of varroa biology that I could think of, and its simulations are typically remarkably accurate (based upon comparing its simulations to actual field data).  I offer the model to the research community as a prototype "work in progress," and regularly update it. Always use the most current version, available at </a:t>
          </a:r>
          <a:r>
            <a:rPr lang="en-US" sz="1100" u="sng">
              <a:solidFill>
                <a:schemeClr val="dk1"/>
              </a:solidFill>
              <a:effectLst/>
              <a:latin typeface="+mn-lt"/>
              <a:ea typeface="+mn-ea"/>
              <a:cs typeface="+mn-cs"/>
              <a:hlinkClick xmlns:r="http://schemas.openxmlformats.org/officeDocument/2006/relationships" r:id=""/>
            </a:rPr>
            <a:t>http://scientificbeekeeping.com/randys-varroa-model/</a:t>
          </a:r>
          <a:endParaRPr lang="en-US" sz="1100" b="0" baseline="0"/>
        </a:p>
        <a:p>
          <a:r>
            <a:rPr lang="en-US" sz="1100" b="0" baseline="0"/>
            <a:t>I solicit suggestions for improvement, and am happy to demonstrate how to use the model via teleconference.  I've protected most cells to avoid accidental changes; the cells can be unlocked with the password sb.  </a:t>
          </a:r>
          <a:endParaRPr lang="en-US" sz="1100">
            <a:solidFill>
              <a:schemeClr val="dk1"/>
            </a:solidFill>
            <a:effectLst/>
            <a:latin typeface="+mn-lt"/>
            <a:ea typeface="+mn-ea"/>
            <a:cs typeface="+mn-cs"/>
          </a:endParaRPr>
        </a:p>
        <a:p>
          <a:endParaRPr lang="en-US" sz="1100" b="0"/>
        </a:p>
        <a:p>
          <a:endParaRPr lang="en-US" sz="1100" b="1"/>
        </a:p>
        <a:p>
          <a:r>
            <a:rPr lang="en-US" sz="1100" b="1"/>
            <a:t>This model is a</a:t>
          </a:r>
          <a:r>
            <a:rPr lang="en-US" sz="1100" b="1" baseline="0"/>
            <a:t> work in progress, and I add improvements regularly.  Below are some adjustments that may need to be made.</a:t>
          </a:r>
          <a:endParaRPr lang="en-US" sz="1100" b="1"/>
        </a:p>
        <a:p>
          <a:endParaRPr lang="en-US" sz="1100"/>
        </a:p>
        <a:p>
          <a:r>
            <a:rPr lang="en-US" sz="1100"/>
            <a:t>After performing thousands of alcohol washes of colonies in my selective breeding program for varroa resistance, I observe that the mite infestation rate appears to build more slowly in small colonies as opposed to larger colonies.  This observation is supported by the data from Seeley's small colonies.  The Model does not currently reflect</a:t>
          </a:r>
          <a:r>
            <a:rPr lang="en-US" sz="1100" baseline="0"/>
            <a:t> this adequately.  </a:t>
          </a:r>
          <a:r>
            <a:rPr lang="en-US" sz="1100" baseline="0">
              <a:solidFill>
                <a:srgbClr val="FF0000"/>
              </a:solidFill>
            </a:rPr>
            <a:t>I may need to include an adjustment for colony size, although I'm not sure of the mechanism involved.</a:t>
          </a:r>
        </a:p>
        <a:p>
          <a:endParaRPr lang="en-US" sz="1100" baseline="0">
            <a:solidFill>
              <a:srgbClr val="FF0000"/>
            </a:solidFill>
          </a:endParaRPr>
        </a:p>
        <a:p>
          <a:r>
            <a:rPr lang="en-US" sz="1100"/>
            <a:t>Reyes-Qiuntana 2019 Impact of Varroa destructor and deformed wing virus on emergence, cellular immunity, wing integrity and survivorship of Africanized honey bees in Mexico.https://doi.org/10.1016/j.jip.2019.04.009  </a:t>
          </a:r>
          <a:r>
            <a:rPr lang="en-US" sz="1100">
              <a:solidFill>
                <a:srgbClr val="FF0000"/>
              </a:solidFill>
            </a:rPr>
            <a:t>Varroa infestation/DWV of a pupa results in a lower emergence rate of the pupa; should this be factored into the model?</a:t>
          </a:r>
        </a:p>
        <a:p>
          <a:r>
            <a:rPr lang="en-US" sz="1100">
              <a:solidFill>
                <a:srgbClr val="FF0000"/>
              </a:solidFill>
            </a:rPr>
            <a:t/>
          </a:r>
          <a:br>
            <a:rPr lang="en-US" sz="1100">
              <a:solidFill>
                <a:srgbClr val="FF0000"/>
              </a:solidFill>
            </a:rPr>
          </a:br>
          <a:r>
            <a:rPr lang="en-US" sz="1100">
              <a:solidFill>
                <a:schemeClr val="tx1"/>
              </a:solidFill>
            </a:rPr>
            <a:t>BartJan Fernhout of Arista Bee Research points</a:t>
          </a:r>
          <a:r>
            <a:rPr lang="en-US" sz="1100" baseline="0">
              <a:solidFill>
                <a:schemeClr val="tx1"/>
              </a:solidFill>
            </a:rPr>
            <a:t> out that </a:t>
          </a:r>
          <a:r>
            <a:rPr lang="en-US" sz="1100" baseline="0">
              <a:solidFill>
                <a:srgbClr val="FF0000"/>
              </a:solidFill>
            </a:rPr>
            <a:t>the VSH impact of the model may need to be adjusted in order to account for the elevated mortality rate of foundress mites following their disturbance during VSH. </a:t>
          </a:r>
          <a:endParaRPr lang="en-US" sz="1100">
            <a:solidFill>
              <a:srgbClr val="FF0000"/>
            </a:solidFill>
          </a:endParaRPr>
        </a:p>
        <a:p>
          <a:endParaRPr 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200025</xdr:colOff>
      <xdr:row>9</xdr:row>
      <xdr:rowOff>28575</xdr:rowOff>
    </xdr:from>
    <xdr:to>
      <xdr:col>13</xdr:col>
      <xdr:colOff>504825</xdr:colOff>
      <xdr:row>32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123824</xdr:rowOff>
    </xdr:from>
    <xdr:to>
      <xdr:col>17</xdr:col>
      <xdr:colOff>590550</xdr:colOff>
      <xdr:row>9</xdr:row>
      <xdr:rowOff>0</xdr:rowOff>
    </xdr:to>
    <xdr:sp macro="" textlink="">
      <xdr:nvSpPr>
        <xdr:cNvPr id="3" name="TextBox 2"/>
        <xdr:cNvSpPr txBox="1"/>
      </xdr:nvSpPr>
      <xdr:spPr>
        <a:xfrm>
          <a:off x="85725" y="123824"/>
          <a:ext cx="115824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Varroa population dynamics</a:t>
          </a:r>
          <a:r>
            <a:rPr lang="en-US" sz="1100" baseline="0"/>
            <a:t> , greatly simplified, fall into one of two phases--buildup when brood is present; decline when brood is absent.  During the period of buildup, the mean r value for nonresistant stock is around 0.021/day; during winter cluster it is around -0.005/day.</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Thus, the longer the broodless period, the shorter the buildup phase, and the longer the decline phase.  For sustainability, the beekeeper must in some way bring the ending mite pop back down to the baseline .  For example, splitting the hive into three would reduce each split's overall mite load by 33%.  Or one can apply treatments.  In a  crude and simplified model such as this, the timing of treatments makes no difference, but can give you an idea of the degree of mite reduction s necessary (by whatever means) over the course of a season.  </a:t>
          </a:r>
          <a:r>
            <a:rPr lang="en-US" sz="1100" baseline="0">
              <a:solidFill>
                <a:schemeClr val="dk1"/>
              </a:solidFill>
              <a:effectLst/>
              <a:latin typeface="+mn-lt"/>
              <a:ea typeface="+mn-ea"/>
              <a:cs typeface="+mn-cs"/>
            </a:rPr>
            <a:t>In the  model below, you can enter values into any yellow cell.  </a:t>
          </a:r>
          <a:r>
            <a:rPr lang="en-US" sz="1100" b="1" baseline="0"/>
            <a:t>Refer to the "Current version" tab for a more complete model.</a:t>
          </a:r>
        </a:p>
        <a:p>
          <a:endParaRPr lang="en-US" sz="1100" baseline="0"/>
        </a:p>
      </xdr:txBody>
    </xdr:sp>
    <xdr:clientData/>
  </xdr:twoCellAnchor>
  <xdr:twoCellAnchor>
    <xdr:from>
      <xdr:col>3</xdr:col>
      <xdr:colOff>276224</xdr:colOff>
      <xdr:row>45</xdr:row>
      <xdr:rowOff>101600</xdr:rowOff>
    </xdr:from>
    <xdr:to>
      <xdr:col>11</xdr:col>
      <xdr:colOff>514349</xdr:colOff>
      <xdr:row>68</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10</xdr:row>
      <xdr:rowOff>0</xdr:rowOff>
    </xdr:from>
    <xdr:to>
      <xdr:col>27</xdr:col>
      <xdr:colOff>354741</xdr:colOff>
      <xdr:row>33</xdr:row>
      <xdr:rowOff>141646</xdr:rowOff>
    </xdr:to>
    <xdr:pic>
      <xdr:nvPicPr>
        <xdr:cNvPr id="7" name="Picture 6"/>
        <xdr:cNvPicPr>
          <a:picLocks noChangeAspect="1"/>
        </xdr:cNvPicPr>
      </xdr:nvPicPr>
      <xdr:blipFill>
        <a:blip xmlns:r="http://schemas.openxmlformats.org/officeDocument/2006/relationships" r:embed="rId3"/>
        <a:stretch>
          <a:fillRect/>
        </a:stretch>
      </xdr:blipFill>
      <xdr:spPr>
        <a:xfrm>
          <a:off x="11112500" y="1622778"/>
          <a:ext cx="7029297" cy="4212701"/>
        </a:xfrm>
        <a:prstGeom prst="rect">
          <a:avLst/>
        </a:prstGeom>
      </xdr:spPr>
    </xdr:pic>
    <xdr:clientData/>
  </xdr:twoCellAnchor>
  <xdr:twoCellAnchor>
    <xdr:from>
      <xdr:col>10</xdr:col>
      <xdr:colOff>352778</xdr:colOff>
      <xdr:row>34</xdr:row>
      <xdr:rowOff>155222</xdr:rowOff>
    </xdr:from>
    <xdr:to>
      <xdr:col>14</xdr:col>
      <xdr:colOff>141112</xdr:colOff>
      <xdr:row>41</xdr:row>
      <xdr:rowOff>155222</xdr:rowOff>
    </xdr:to>
    <xdr:sp macro="" textlink="">
      <xdr:nvSpPr>
        <xdr:cNvPr id="8" name="TextBox 7"/>
        <xdr:cNvSpPr txBox="1"/>
      </xdr:nvSpPr>
      <xdr:spPr>
        <a:xfrm>
          <a:off x="7824611" y="6011333"/>
          <a:ext cx="2215445" cy="1135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It's easy to see why varroa management is much more challenging in California, Texas, or Florida than it is in more northerly regions.</a:t>
          </a:r>
        </a:p>
      </xdr:txBody>
    </xdr:sp>
    <xdr:clientData/>
  </xdr:twoCellAnchor>
  <xdr:twoCellAnchor>
    <xdr:from>
      <xdr:col>16</xdr:col>
      <xdr:colOff>28222</xdr:colOff>
      <xdr:row>34</xdr:row>
      <xdr:rowOff>134056</xdr:rowOff>
    </xdr:from>
    <xdr:to>
      <xdr:col>27</xdr:col>
      <xdr:colOff>338666</xdr:colOff>
      <xdr:row>38</xdr:row>
      <xdr:rowOff>149087</xdr:rowOff>
    </xdr:to>
    <xdr:sp macro="" textlink="">
      <xdr:nvSpPr>
        <xdr:cNvPr id="9" name="TextBox 8"/>
        <xdr:cNvSpPr txBox="1"/>
      </xdr:nvSpPr>
      <xdr:spPr>
        <a:xfrm>
          <a:off x="11027526" y="6221773"/>
          <a:ext cx="7052488" cy="6279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Typical phoretic</a:t>
          </a:r>
          <a:r>
            <a:rPr lang="en-US" sz="1100" baseline="0"/>
            <a:t> mite infestation  rates for U.S. beekeepers, from Bee Informed Partnership, 2016.  Multiply values on the y axis by 3 for alcohol wash counts of 1/2 cup of bees.</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142873</xdr:rowOff>
    </xdr:from>
    <xdr:to>
      <xdr:col>15</xdr:col>
      <xdr:colOff>390525</xdr:colOff>
      <xdr:row>41</xdr:row>
      <xdr:rowOff>114299</xdr:rowOff>
    </xdr:to>
    <xdr:sp macro="" textlink="">
      <xdr:nvSpPr>
        <xdr:cNvPr id="2" name="TextBox 1"/>
        <xdr:cNvSpPr txBox="1"/>
      </xdr:nvSpPr>
      <xdr:spPr>
        <a:xfrm>
          <a:off x="609600" y="142873"/>
          <a:ext cx="8924925" cy="6610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Ver 26 Sep 2020 Corrected error for</a:t>
          </a:r>
          <a:r>
            <a:rPr lang="en-US" sz="1100" baseline="0">
              <a:solidFill>
                <a:schemeClr val="dk1"/>
              </a:solidFill>
              <a:effectLst/>
              <a:latin typeface="+mn-lt"/>
              <a:ea typeface="+mn-ea"/>
              <a:cs typeface="+mn-cs"/>
            </a:rPr>
            <a:t> x value in mite immigration.</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6 Jun 2020  Major revision of display</a:t>
          </a:r>
          <a:r>
            <a:rPr lang="en-US" sz="1100" baseline="0">
              <a:solidFill>
                <a:schemeClr val="dk1"/>
              </a:solidFill>
              <a:effectLst/>
              <a:latin typeface="+mn-lt"/>
              <a:ea typeface="+mn-ea"/>
              <a:cs typeface="+mn-cs"/>
            </a:rPr>
            <a:t> to make it more user friendly.</a:t>
          </a:r>
        </a:p>
        <a:p>
          <a:r>
            <a:rPr lang="en-US" sz="1100" baseline="0">
              <a:solidFill>
                <a:schemeClr val="dk1"/>
              </a:solidFill>
              <a:effectLst/>
              <a:latin typeface="+mn-lt"/>
              <a:ea typeface="+mn-ea"/>
              <a:cs typeface="+mn-cs"/>
            </a:rPr>
            <a:t>2018-2020 Minor revisions in updates, notably adding adjustment for reduction in mite reproduction due to various resistance mechanisms.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18 Nov</a:t>
          </a:r>
          <a:r>
            <a:rPr lang="en-US" sz="1100" baseline="0">
              <a:solidFill>
                <a:schemeClr val="dk1"/>
              </a:solidFill>
              <a:effectLst/>
              <a:latin typeface="+mn-lt"/>
              <a:ea typeface="+mn-ea"/>
              <a:cs typeface="+mn-cs"/>
            </a:rPr>
            <a:t> 2018  After collecting actual mite drift counts in my own apiary, I adusted the immigration levels.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Aug 2018  I added a colony model for Southern California.</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21 Jul 2018 Corrected a glitch in immigration.  Conversation</a:t>
          </a:r>
          <a:r>
            <a:rPr lang="en-US" sz="1100" baseline="0">
              <a:solidFill>
                <a:schemeClr val="dk1"/>
              </a:solidFill>
              <a:effectLst/>
              <a:latin typeface="+mn-lt"/>
              <a:ea typeface="+mn-ea"/>
              <a:cs typeface="+mn-cs"/>
            </a:rPr>
            <a:t> with BartJan Fernhout of Arista Bee Research and John Kefuss suggests that </a:t>
          </a:r>
          <a:r>
            <a:rPr lang="en-US" sz="1100" baseline="0">
              <a:solidFill>
                <a:srgbClr val="FF0000"/>
              </a:solidFill>
              <a:effectLst/>
              <a:latin typeface="+mn-lt"/>
              <a:ea typeface="+mn-ea"/>
              <a:cs typeface="+mn-cs"/>
            </a:rPr>
            <a:t>I may need to incorporate and increased foundress mortality along with increased VSH behavior</a:t>
          </a:r>
          <a:r>
            <a:rPr lang="en-US" sz="1100" baseline="0">
              <a:solidFill>
                <a:schemeClr val="dk1"/>
              </a:solidFill>
              <a:effectLst/>
              <a:latin typeface="+mn-lt"/>
              <a:ea typeface="+mn-ea"/>
              <a:cs typeface="+mn-cs"/>
            </a:rPr>
            <a:t>.  This may help to explain Kefuss's "black hole" colonies that clear themselves of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5 Apr 2018</a:t>
          </a:r>
          <a:r>
            <a:rPr lang="en-US" sz="1100" baseline="0">
              <a:solidFill>
                <a:schemeClr val="dk1"/>
              </a:solidFill>
              <a:effectLst/>
              <a:latin typeface="+mn-lt"/>
              <a:ea typeface="+mn-ea"/>
              <a:cs typeface="+mn-cs"/>
            </a:rPr>
            <a:t>  I fixed a problem with nucs and packages, which had previously been underestimating the rate of varroa growth due to the calculation for mite aging starting in January.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3 Apr 2018</a:t>
          </a:r>
          <a:r>
            <a:rPr lang="en-US" sz="1100" baseline="0">
              <a:solidFill>
                <a:schemeClr val="dk1"/>
              </a:solidFill>
              <a:effectLst/>
              <a:latin typeface="+mn-lt"/>
              <a:ea typeface="+mn-ea"/>
              <a:cs typeface="+mn-cs"/>
            </a:rPr>
            <a:t>  The r values were too high in the previous version,  so based upon Xie 2016, I changed the value for  "Infestation rate of outgoing bees relative to young adults in an alcohol wash at low mite levels."  I also caught an error in the VSH calculation.  Plus I adjusted the  numbers of daughters per foundress to reflect actual expected  r values.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Mar</a:t>
          </a:r>
          <a:r>
            <a:rPr lang="en-US" sz="1100" baseline="0">
              <a:solidFill>
                <a:schemeClr val="dk1"/>
              </a:solidFill>
              <a:effectLst/>
              <a:latin typeface="+mn-lt"/>
              <a:ea typeface="+mn-ea"/>
              <a:cs typeface="+mn-cs"/>
            </a:rPr>
            <a:t> 2018 I deleted the adjustment for multiple foundresses in a cell, since the simulations assume that you will be controlling varroa--it takes roughly 3 foundresses per cell to decrease the mite's reproductive success (Martin 1995), so I eliminated these calcs.</a:t>
          </a:r>
        </a:p>
        <a:p>
          <a:r>
            <a:rPr lang="en-US" sz="1100">
              <a:solidFill>
                <a:schemeClr val="dk1"/>
              </a:solidFill>
              <a:effectLst/>
              <a:latin typeface="+mn-lt"/>
              <a:ea typeface="+mn-ea"/>
              <a:cs typeface="+mn-cs"/>
            </a:rPr>
            <a:t>I also modified</a:t>
          </a:r>
          <a:r>
            <a:rPr lang="en-US" sz="1100" baseline="0">
              <a:solidFill>
                <a:schemeClr val="dk1"/>
              </a:solidFill>
              <a:effectLst/>
              <a:latin typeface="+mn-lt"/>
              <a:ea typeface="+mn-ea"/>
              <a:cs typeface="+mn-cs"/>
            </a:rPr>
            <a:t> the adjustment for mite aging, since I realized that in any starting population of mites, a percentage of them would have already depleted their stored spermatozoa the previous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 Feb 2018 </a:t>
          </a:r>
          <a:r>
            <a:rPr lang="en-US" sz="1100" baseline="0">
              <a:solidFill>
                <a:schemeClr val="dk1"/>
              </a:solidFill>
              <a:effectLst/>
              <a:latin typeface="+mn-lt"/>
              <a:ea typeface="+mn-ea"/>
              <a:cs typeface="+mn-cs"/>
            </a:rPr>
            <a:t> I've added a new tab--Relative Rates of Increase.  This was to refute the misconception that the bees outrun the mites early in the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a:t>
          </a:r>
          <a:r>
            <a:rPr lang="en-US" sz="1100" baseline="0">
              <a:solidFill>
                <a:schemeClr val="dk1"/>
              </a:solidFill>
              <a:effectLst/>
              <a:latin typeface="+mn-lt"/>
              <a:ea typeface="+mn-ea"/>
              <a:cs typeface="+mn-cs"/>
            </a:rPr>
            <a:t> Jan 2018</a:t>
          </a:r>
          <a:r>
            <a:rPr lang="en-US" sz="1100">
              <a:solidFill>
                <a:schemeClr val="dk1"/>
              </a:solidFill>
              <a:effectLst/>
              <a:latin typeface="+mn-lt"/>
              <a:ea typeface="+mn-ea"/>
              <a:cs typeface="+mn-cs"/>
            </a:rPr>
            <a:t>:  I added a</a:t>
          </a:r>
          <a:r>
            <a:rPr lang="en-US" sz="1100" baseline="0">
              <a:solidFill>
                <a:schemeClr val="dk1"/>
              </a:solidFill>
              <a:effectLst/>
              <a:latin typeface="+mn-lt"/>
              <a:ea typeface="+mn-ea"/>
              <a:cs typeface="+mn-cs"/>
            </a:rPr>
            <a:t> comment on the daily mortality of phoretic mites at V45.  I cleaned up  the mite immigration curves.  A few other minor improvements.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16 Dec 2017:  Moved the mite immigration total,</a:t>
          </a:r>
          <a:r>
            <a:rPr lang="en-US" sz="1100" baseline="0">
              <a:solidFill>
                <a:schemeClr val="dk1"/>
              </a:solidFill>
              <a:effectLst/>
              <a:latin typeface="+mn-lt"/>
              <a:ea typeface="+mn-ea"/>
              <a:cs typeface="+mn-cs"/>
            </a:rPr>
            <a:t> fixed a few other typos, corrected Southern Hemisphere dates, added VSH factor.  I also added the option to create your own mite immigration profile  at the top right of the Colony tab--my field data suggests that in my area, an immigration in September of 500 mites is a reasonable assumption, with some hives apparently suffering from immigration of over 2000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12 Nov 2017: Added kill rates for oxalic vaporization, replaced the Basic Assumptions text box (which had</a:t>
          </a:r>
          <a:r>
            <a:rPr lang="en-US" sz="1100" baseline="0">
              <a:solidFill>
                <a:schemeClr val="dk1"/>
              </a:solidFill>
              <a:effectLst/>
              <a:latin typeface="+mn-lt"/>
              <a:ea typeface="+mn-ea"/>
              <a:cs typeface="+mn-cs"/>
            </a:rPr>
            <a:t> somehow disappeared)</a:t>
          </a:r>
          <a:endParaRPr lang="en-US" sz="1100"/>
        </a:p>
        <a:p>
          <a:endParaRPr lang="en-US" sz="1100"/>
        </a:p>
        <a:p>
          <a:r>
            <a:rPr lang="en-US" sz="1100"/>
            <a:t>Version 5 Nov 2017: I caught an error that</a:t>
          </a:r>
          <a:r>
            <a:rPr lang="en-US" sz="1100" baseline="0"/>
            <a:t> was undercalculating the r values.  I also added an input for the amount of VSH exhibited by your bee stock.</a:t>
          </a:r>
          <a:endParaRPr lang="en-US" sz="1100"/>
        </a:p>
        <a:p>
          <a:endParaRPr lang="en-US" sz="1100"/>
        </a:p>
        <a:p>
          <a:r>
            <a:rPr lang="en-US" sz="1100"/>
            <a:t>Version 15 October</a:t>
          </a:r>
          <a:r>
            <a:rPr lang="en-US" sz="1100" baseline="0"/>
            <a:t> 2017:  I realized that my calcs for percentage of drone brood was based upon area, not number of cells.  I corrected this.  Unfortunately, this change reduced the r values a bit</a:t>
          </a:r>
          <a:r>
            <a:rPr lang="en-US" sz="1100" baseline="0">
              <a:solidFill>
                <a:schemeClr val="tx1"/>
              </a:solidFill>
            </a:rPr>
            <a:t>.  This version of the model may  now underestimat mite buildup rates.  I also added the 31 Dec date, reworked the "crash" function, added a maximum value for the varroa count, modified the amounts of brood and bees in the Default and Randy colonies, changed the mite immigration rate settings, and corrected a couple of errors in linked cells.</a:t>
          </a:r>
          <a:endParaRPr lang="en-US" sz="1100"/>
        </a:p>
        <a:p>
          <a:endParaRPr lang="en-US" sz="1100"/>
        </a:p>
        <a:p>
          <a:r>
            <a:rPr lang="en-US" sz="1100"/>
            <a:t>Version 5 Oct 2017: Changed</a:t>
          </a:r>
          <a:r>
            <a:rPr lang="en-US" sz="1100" baseline="0"/>
            <a:t> column W to show net r value rather than potential reproductive increase.  Blanked out values in table if colony crash occurs.</a:t>
          </a:r>
        </a:p>
        <a:p>
          <a:endParaRPr lang="en-US" sz="1100"/>
        </a:p>
        <a:p>
          <a:r>
            <a:rPr lang="en-US" sz="1100">
              <a:solidFill>
                <a:schemeClr val="dk1"/>
              </a:solidFill>
              <a:effectLst/>
              <a:latin typeface="+mn-lt"/>
              <a:ea typeface="+mn-ea"/>
              <a:cs typeface="+mn-cs"/>
            </a:rPr>
            <a:t>Version  </a:t>
          </a:r>
          <a:r>
            <a:rPr lang="en-US" sz="1100"/>
            <a:t>1</a:t>
          </a:r>
          <a:r>
            <a:rPr lang="en-US" sz="1100" baseline="0"/>
            <a:t> Oct 2017: I improved the r value output by correcting my interval--changing it from the original 15 days, to the more accurate 15.20833 (365/24) days.  I also added more comments, plus a graph for the immigration values.</a:t>
          </a:r>
        </a:p>
        <a:p>
          <a:endParaRPr lang="en-US" sz="1100" baseline="0"/>
        </a:p>
        <a:p>
          <a:r>
            <a:rPr lang="en-US" sz="1100">
              <a:solidFill>
                <a:schemeClr val="dk1"/>
              </a:solidFill>
              <a:effectLst/>
              <a:latin typeface="+mn-lt"/>
              <a:ea typeface="+mn-ea"/>
              <a:cs typeface="+mn-cs"/>
            </a:rPr>
            <a:t>Version  </a:t>
          </a:r>
          <a:r>
            <a:rPr lang="en-US" sz="1100" baseline="0"/>
            <a:t>30 Sept 2017: I inserted comments throughout the Current Version page to explain inputs and calculations.</a:t>
          </a:r>
        </a:p>
        <a:p>
          <a:endParaRPr lang="en-US" sz="1100" baseline="0"/>
        </a:p>
        <a:p>
          <a:r>
            <a:rPr lang="en-US" sz="1100">
              <a:solidFill>
                <a:schemeClr val="dk1"/>
              </a:solidFill>
              <a:effectLst/>
              <a:latin typeface="+mn-lt"/>
              <a:ea typeface="+mn-ea"/>
              <a:cs typeface="+mn-cs"/>
            </a:rPr>
            <a:t>Version  </a:t>
          </a:r>
          <a:r>
            <a:rPr lang="en-US" sz="1100" baseline="0"/>
            <a:t>20 </a:t>
          </a:r>
          <a:r>
            <a:rPr lang="en-US" sz="1100"/>
            <a:t>Sept 2017: Although</a:t>
          </a:r>
          <a:r>
            <a:rPr lang="en-US" sz="1100" baseline="0"/>
            <a:t> the model had been simulating mite counts very nicely for the last few month's worth of versions, I</a:t>
          </a:r>
          <a:r>
            <a:rPr lang="en-US" sz="1100"/>
            <a:t> made a major change in</a:t>
          </a:r>
          <a:r>
            <a:rPr lang="en-US" sz="1100" i="1"/>
            <a:t> this </a:t>
          </a:r>
          <a:r>
            <a:rPr lang="en-US" sz="1100"/>
            <a:t>version to account for the percentage of</a:t>
          </a:r>
          <a:r>
            <a:rPr lang="en-US" sz="1100" baseline="0"/>
            <a:t> the mite population that either hadn't been mated, or had lost their fertility.  And at the same time I changed </a:t>
          </a:r>
          <a:r>
            <a:rPr lang="en-US" sz="1100" i="1" baseline="0"/>
            <a:t>the order </a:t>
          </a:r>
          <a:r>
            <a:rPr lang="en-US" sz="1100" baseline="0"/>
            <a:t>of the calculations for birth, death, emigration, immigration, and treatment (columns BZ through CL).   This change fixed a nagging problem with previous versions--that the mite population wasn't dropping quickly enough in late summer and fall.  I may later readjust the order of calculations.</a:t>
          </a:r>
        </a:p>
        <a:p>
          <a:endParaRPr lang="en-US" sz="1100" baseline="0"/>
        </a:p>
        <a:p>
          <a:r>
            <a:rPr lang="en-US" sz="1100" baseline="0"/>
            <a:t>The change fixed the late-summer problem, but now the April-Sept r values of  the simulations were a bit lower than  for field measurements--I shoot for the default to arrive at an r of about 0.020.  In order to compensate, I raised the default values for number of daughters per worker cell from 1.45 to 1.5, and the mating success from 75% to 80%.  </a:t>
          </a:r>
          <a:r>
            <a:rPr lang="en-US" sz="1100" b="1" baseline="0">
              <a:solidFill>
                <a:srgbClr val="FF0000"/>
              </a:solidFill>
            </a:rPr>
            <a:t>I'm not entirely comfortable with these new values</a:t>
          </a:r>
          <a:r>
            <a:rPr lang="en-US" sz="1100" baseline="0"/>
            <a:t>, since the previous values were  closer to the means of field measurements, so I feel that something still needs tweaking.</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6" name="Up Arrow 5"/>
        <xdr:cNvSpPr>
          <a:spLocks noChangeAspect="1"/>
        </xdr:cNvSpPr>
      </xdr:nvSpPr>
      <xdr:spPr>
        <a:xfrm>
          <a:off x="4648200" y="1666875"/>
          <a:ext cx="457200" cy="1114425"/>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7" name="Up Arrow 6"/>
        <xdr:cNvSpPr>
          <a:spLocks noChangeAspect="1"/>
        </xdr:cNvSpPr>
      </xdr:nvSpPr>
      <xdr:spPr>
        <a:xfrm rot="10800000">
          <a:off x="4650068" y="2945653"/>
          <a:ext cx="460188" cy="1079127"/>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29</xdr:row>
      <xdr:rowOff>0</xdr:rowOff>
    </xdr:from>
    <xdr:to>
      <xdr:col>13</xdr:col>
      <xdr:colOff>488577</xdr:colOff>
      <xdr:row>68</xdr:row>
      <xdr:rowOff>101413</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630706" y="5042647"/>
          <a:ext cx="4724400" cy="6219825"/>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5" name="TextBox 4"/>
        <xdr:cNvSpPr txBox="1"/>
      </xdr:nvSpPr>
      <xdr:spPr>
        <a:xfrm>
          <a:off x="3619500" y="11385177"/>
          <a:ext cx="4740088"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9.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rate of increase vs.</a:t>
          </a:r>
        </a:p>
        <a:p xmlns:a="http://schemas.openxmlformats.org/drawingml/2006/main">
          <a:pPr algn="ctr"/>
          <a:r>
            <a:rPr lang="en-US" sz="2000" b="1"/>
            <a:t>total</a:t>
          </a:r>
          <a:r>
            <a:rPr lang="en-US" sz="2000" b="1" baseline="0"/>
            <a:t> mite population in hive</a:t>
          </a:r>
        </a:p>
        <a:p xmlns:a="http://schemas.openxmlformats.org/drawingml/2006/main">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L154"/>
  <sheetViews>
    <sheetView tabSelected="1" zoomScale="90" zoomScaleNormal="90" workbookViewId="0">
      <selection activeCell="AB20" sqref="AB20:AC20"/>
    </sheetView>
  </sheetViews>
  <sheetFormatPr defaultRowHeight="12.5" x14ac:dyDescent="0.25"/>
  <cols>
    <col min="1" max="1" width="2.6328125" customWidth="1"/>
    <col min="2" max="2" width="15.6328125" bestFit="1" customWidth="1"/>
    <col min="3" max="30" width="5.26953125" customWidth="1"/>
    <col min="31" max="32" width="5.7265625" customWidth="1"/>
    <col min="33" max="33" width="7.7265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13.7265625" customWidth="1"/>
    <col min="52" max="52" width="7.7265625" customWidth="1"/>
    <col min="53" max="53" width="8.54296875" customWidth="1"/>
    <col min="54" max="54" width="8.54296875" style="382" customWidth="1"/>
    <col min="55" max="55" width="8.54296875" customWidth="1"/>
    <col min="56" max="56" width="8.7265625" customWidth="1"/>
    <col min="57" max="57" width="12.54296875" customWidth="1"/>
    <col min="58" max="62" width="12.7265625" customWidth="1"/>
    <col min="63" max="64" width="10.54296875" customWidth="1"/>
    <col min="66" max="66" width="10.7265625" customWidth="1"/>
    <col min="68" max="68" width="8.54296875" customWidth="1"/>
    <col min="69" max="69" width="10.7265625" customWidth="1"/>
    <col min="71" max="71" width="10.7265625" customWidth="1"/>
    <col min="74" max="74" width="10.7265625" customWidth="1"/>
    <col min="75" max="75" width="8.7265625" style="256" customWidth="1"/>
    <col min="76" max="83" width="10.7265625" style="256" customWidth="1"/>
    <col min="84" max="84" width="11.7265625" style="256" customWidth="1"/>
    <col min="85" max="89" width="10.7265625" style="256" customWidth="1"/>
    <col min="90" max="100" width="10.7265625" customWidth="1"/>
    <col min="101" max="101" width="10.54296875" customWidth="1"/>
    <col min="102" max="102" width="9.7265625" customWidth="1"/>
    <col min="105" max="105" width="15" customWidth="1"/>
    <col min="106" max="106" width="11.54296875" bestFit="1" customWidth="1"/>
    <col min="107" max="108" width="10.7265625" customWidth="1"/>
    <col min="109" max="115" width="12.7265625" customWidth="1"/>
    <col min="116" max="116" width="15" customWidth="1"/>
    <col min="117" max="117" width="11.453125" customWidth="1"/>
    <col min="118" max="118" width="9.7265625" customWidth="1"/>
    <col min="119" max="119" width="12.7265625" style="18" customWidth="1"/>
    <col min="120" max="120" width="12.7265625" style="57" customWidth="1"/>
    <col min="121" max="121" width="12.7265625" style="18" customWidth="1"/>
    <col min="122" max="122" width="15" customWidth="1"/>
    <col min="123" max="123" width="11.7265625" customWidth="1"/>
    <col min="124" max="126" width="10.7265625" customWidth="1"/>
    <col min="127" max="128" width="9.7265625" customWidth="1"/>
    <col min="129" max="130" width="10.7265625" customWidth="1"/>
    <col min="131" max="132" width="9.7265625" customWidth="1"/>
    <col min="133" max="133" width="10.7265625" customWidth="1"/>
    <col min="134" max="136" width="9.7265625" customWidth="1"/>
    <col min="137" max="137" width="12.7265625" customWidth="1"/>
    <col min="138" max="139" width="9.7265625" customWidth="1"/>
    <col min="140" max="142" width="10.7265625" customWidth="1"/>
  </cols>
  <sheetData>
    <row r="1" spans="1:168" ht="13" x14ac:dyDescent="0.3">
      <c r="AE1" s="508" t="s">
        <v>362</v>
      </c>
      <c r="AF1" s="508"/>
      <c r="AG1" s="508"/>
      <c r="AH1" s="508"/>
      <c r="AI1" s="508"/>
      <c r="AJ1" s="508"/>
      <c r="AK1" s="508"/>
      <c r="AL1" s="508"/>
      <c r="AM1" s="508"/>
      <c r="AN1" s="508"/>
      <c r="AO1" s="508"/>
      <c r="AP1" s="508"/>
      <c r="AQ1" s="508"/>
      <c r="AR1" s="508"/>
      <c r="AS1" s="508"/>
      <c r="AT1" s="508"/>
      <c r="AU1" s="508"/>
      <c r="AV1" s="508"/>
      <c r="AW1" s="508"/>
      <c r="AX1" s="508"/>
      <c r="BO1" s="436" t="s">
        <v>108</v>
      </c>
      <c r="BP1" s="436"/>
      <c r="BQ1" s="436"/>
      <c r="BR1" s="436"/>
      <c r="BS1" s="436"/>
      <c r="BT1" s="437" t="s">
        <v>109</v>
      </c>
      <c r="BU1" s="437"/>
      <c r="BV1" s="437"/>
      <c r="BW1" s="437"/>
      <c r="BX1" s="437"/>
      <c r="BY1" s="437"/>
      <c r="BZ1" s="437"/>
      <c r="CA1" s="437"/>
      <c r="CB1" s="437"/>
      <c r="CC1" s="437"/>
      <c r="CD1"/>
      <c r="CE1"/>
      <c r="CF1" s="113"/>
      <c r="CG1" s="118" t="s">
        <v>110</v>
      </c>
      <c r="CH1" s="94"/>
      <c r="CI1" s="115"/>
      <c r="CJ1" s="115"/>
      <c r="CK1" s="115"/>
      <c r="CL1" s="113"/>
      <c r="CM1" s="117"/>
      <c r="CN1" s="113"/>
      <c r="CO1" s="94"/>
      <c r="CP1" s="52"/>
      <c r="CQ1" s="119" t="s">
        <v>111</v>
      </c>
      <c r="CR1" s="93"/>
      <c r="CS1" s="93"/>
      <c r="CT1" s="93"/>
      <c r="CU1" s="93"/>
      <c r="CV1" s="93"/>
      <c r="CW1" s="93"/>
      <c r="CX1" s="116"/>
      <c r="CY1" s="93"/>
      <c r="CZ1" s="93"/>
      <c r="DA1" s="138" t="s">
        <v>214</v>
      </c>
      <c r="DB1" s="438" t="s">
        <v>221</v>
      </c>
      <c r="DC1" s="438"/>
      <c r="DD1" s="382"/>
      <c r="DE1" s="139" t="s">
        <v>149</v>
      </c>
      <c r="DF1" s="57"/>
      <c r="DG1" s="57"/>
      <c r="DH1" s="138" t="s">
        <v>150</v>
      </c>
      <c r="DJ1" s="374" t="s">
        <v>151</v>
      </c>
      <c r="DK1" s="374" t="s">
        <v>151</v>
      </c>
      <c r="DL1" s="247" t="s">
        <v>150</v>
      </c>
      <c r="DM1" s="374" t="s">
        <v>151</v>
      </c>
      <c r="DN1" s="44"/>
      <c r="DO1" s="57"/>
      <c r="DQ1" s="374" t="s">
        <v>151</v>
      </c>
      <c r="DR1" s="139" t="s">
        <v>149</v>
      </c>
      <c r="DS1" s="139"/>
      <c r="DU1" s="441" t="s">
        <v>287</v>
      </c>
      <c r="DV1" s="441"/>
      <c r="DW1" s="441"/>
      <c r="EB1" s="442" t="s">
        <v>216</v>
      </c>
      <c r="EC1" s="442"/>
      <c r="ED1" s="442"/>
      <c r="EE1" s="442"/>
      <c r="EF1" s="442"/>
      <c r="EG1" s="442"/>
      <c r="EI1" s="443" t="s">
        <v>179</v>
      </c>
      <c r="EJ1" s="443"/>
      <c r="EK1" s="443"/>
    </row>
    <row r="2" spans="1:168" s="150" customFormat="1" ht="12.75" customHeight="1" x14ac:dyDescent="0.3">
      <c r="R2" s="150" t="s">
        <v>368</v>
      </c>
      <c r="AE2" s="525"/>
      <c r="AF2" s="525"/>
      <c r="AG2" s="525"/>
      <c r="AH2" s="525"/>
      <c r="AI2" s="525"/>
      <c r="AJ2" s="274"/>
      <c r="AK2" s="274"/>
      <c r="AL2" s="274"/>
      <c r="AM2" s="274"/>
      <c r="AN2" s="274"/>
      <c r="AO2" s="274"/>
      <c r="AP2" s="274"/>
      <c r="AQ2" s="274"/>
      <c r="AR2" s="274"/>
      <c r="AS2" s="274"/>
      <c r="AT2" s="274"/>
      <c r="AU2" s="274"/>
      <c r="AV2" s="274"/>
      <c r="AW2" s="274"/>
      <c r="AX2" s="274"/>
      <c r="BB2" s="376"/>
      <c r="BE2" s="376" t="s">
        <v>208</v>
      </c>
      <c r="BM2" s="270"/>
      <c r="BN2" s="270"/>
      <c r="BO2" s="271" t="s">
        <v>228</v>
      </c>
      <c r="BP2" s="172"/>
      <c r="BQ2" s="275" t="s">
        <v>208</v>
      </c>
      <c r="BR2" s="172"/>
      <c r="BS2" s="376" t="s">
        <v>208</v>
      </c>
      <c r="BT2" s="376"/>
      <c r="BU2" s="376"/>
      <c r="BV2" s="376" t="s">
        <v>208</v>
      </c>
      <c r="BW2" s="376"/>
      <c r="BX2" s="376" t="s">
        <v>208</v>
      </c>
      <c r="BY2" s="376" t="s">
        <v>208</v>
      </c>
      <c r="BZ2" s="275"/>
      <c r="CA2" s="376"/>
      <c r="CB2" s="376"/>
      <c r="CC2" s="376" t="s">
        <v>208</v>
      </c>
      <c r="CD2" s="172"/>
      <c r="CE2" s="275" t="s">
        <v>208</v>
      </c>
      <c r="CF2" s="376"/>
      <c r="CG2" s="376"/>
      <c r="CH2" s="376"/>
      <c r="CI2" s="376"/>
      <c r="CJ2" s="376" t="s">
        <v>328</v>
      </c>
      <c r="CK2" s="150" t="s">
        <v>328</v>
      </c>
      <c r="CL2" s="376" t="s">
        <v>208</v>
      </c>
      <c r="CM2" s="275" t="s">
        <v>208</v>
      </c>
      <c r="CN2" s="376"/>
      <c r="CO2" s="376"/>
      <c r="CP2" s="376"/>
      <c r="CQ2" s="376"/>
      <c r="CR2" s="376"/>
      <c r="CS2" s="376"/>
      <c r="CT2" s="376" t="s">
        <v>328</v>
      </c>
      <c r="CU2" s="150" t="s">
        <v>328</v>
      </c>
      <c r="CV2" s="376"/>
      <c r="CW2" s="376"/>
      <c r="CX2" s="275" t="s">
        <v>208</v>
      </c>
      <c r="CY2" s="376"/>
      <c r="CZ2" s="376"/>
      <c r="DA2" s="376" t="s">
        <v>208</v>
      </c>
      <c r="DB2" s="376" t="s">
        <v>208</v>
      </c>
      <c r="DC2" s="294" t="s">
        <v>208</v>
      </c>
      <c r="DD2" s="376"/>
      <c r="DE2" s="376"/>
      <c r="DF2" s="268" t="s">
        <v>208</v>
      </c>
      <c r="DG2" s="269" t="s">
        <v>208</v>
      </c>
      <c r="DH2" s="376" t="s">
        <v>208</v>
      </c>
      <c r="DK2" s="376" t="s">
        <v>208</v>
      </c>
      <c r="DL2" s="293" t="s">
        <v>208</v>
      </c>
      <c r="DM2" s="261" t="s">
        <v>208</v>
      </c>
      <c r="DN2" s="376"/>
      <c r="DO2" s="376"/>
      <c r="DP2" s="394"/>
      <c r="DQ2" s="376" t="s">
        <v>208</v>
      </c>
      <c r="DR2" s="376"/>
      <c r="DS2" s="376"/>
      <c r="DT2" s="376"/>
      <c r="DU2" s="441"/>
      <c r="DV2" s="441"/>
      <c r="DW2" s="441"/>
      <c r="DX2" s="444" t="s">
        <v>208</v>
      </c>
      <c r="DY2" s="444"/>
      <c r="DZ2" s="393"/>
      <c r="EA2" s="375"/>
      <c r="EB2" s="445" t="s">
        <v>208</v>
      </c>
      <c r="EC2" s="446"/>
      <c r="ED2" s="446"/>
      <c r="EE2" s="376"/>
      <c r="EF2" s="376" t="s">
        <v>208</v>
      </c>
      <c r="EG2" s="376" t="s">
        <v>208</v>
      </c>
      <c r="EH2" s="376"/>
      <c r="EI2" s="259"/>
      <c r="EJ2" s="259" t="s">
        <v>208</v>
      </c>
      <c r="EK2" s="376" t="s">
        <v>208</v>
      </c>
    </row>
    <row r="3" spans="1:168" ht="89.25" customHeight="1" x14ac:dyDescent="0.25">
      <c r="A3" s="406"/>
      <c r="AE3" s="427"/>
      <c r="AF3" s="403"/>
      <c r="AL3" s="254"/>
      <c r="AM3" s="254"/>
      <c r="AN3" s="254"/>
      <c r="AT3" s="254"/>
      <c r="AU3" s="254"/>
      <c r="AV3" s="254"/>
      <c r="AW3" s="254"/>
      <c r="AZ3" s="377" t="s">
        <v>134</v>
      </c>
      <c r="BA3" s="1" t="s">
        <v>154</v>
      </c>
      <c r="BB3" s="377" t="s">
        <v>297</v>
      </c>
      <c r="BC3" s="233" t="s">
        <v>191</v>
      </c>
      <c r="BD3" s="122" t="str">
        <f>DW3</f>
        <v>Alcohol wash of 1/2 cup of young bees</v>
      </c>
      <c r="BE3" s="158" t="s">
        <v>142</v>
      </c>
      <c r="BF3" s="377" t="s">
        <v>140</v>
      </c>
      <c r="BG3" s="439" t="s">
        <v>152</v>
      </c>
      <c r="BH3" s="439"/>
      <c r="BI3" s="439"/>
      <c r="BJ3" s="439"/>
      <c r="BK3" s="439"/>
      <c r="BL3" s="439"/>
      <c r="BM3" s="440" t="s">
        <v>227</v>
      </c>
      <c r="BN3" s="440"/>
      <c r="BO3" s="369" t="s">
        <v>0</v>
      </c>
      <c r="BP3" s="63" t="s">
        <v>92</v>
      </c>
      <c r="BQ3" s="24" t="s">
        <v>7</v>
      </c>
      <c r="BR3" s="378" t="s">
        <v>93</v>
      </c>
      <c r="BS3" s="25" t="s">
        <v>9</v>
      </c>
      <c r="BT3" s="373" t="s">
        <v>8</v>
      </c>
      <c r="BU3" s="373" t="s">
        <v>91</v>
      </c>
      <c r="BV3" s="373" t="s">
        <v>145</v>
      </c>
      <c r="BW3" s="373" t="s">
        <v>10</v>
      </c>
      <c r="BX3" s="142" t="s">
        <v>143</v>
      </c>
      <c r="BY3" s="140" t="s">
        <v>98</v>
      </c>
      <c r="BZ3" s="373" t="s">
        <v>95</v>
      </c>
      <c r="CA3" s="129" t="s">
        <v>94</v>
      </c>
      <c r="CB3" s="373" t="s">
        <v>99</v>
      </c>
      <c r="CC3" s="26" t="s">
        <v>97</v>
      </c>
      <c r="CD3" s="171" t="s">
        <v>299</v>
      </c>
      <c r="CE3" s="306" t="s">
        <v>300</v>
      </c>
      <c r="CF3" s="69" t="s">
        <v>302</v>
      </c>
      <c r="CG3" s="69" t="s">
        <v>303</v>
      </c>
      <c r="CH3" s="69" t="s">
        <v>100</v>
      </c>
      <c r="CI3" s="69" t="s">
        <v>115</v>
      </c>
      <c r="CJ3" s="69" t="s">
        <v>136</v>
      </c>
      <c r="CK3" s="69" t="s">
        <v>139</v>
      </c>
      <c r="CL3" s="69" t="s">
        <v>103</v>
      </c>
      <c r="CM3" s="69" t="s">
        <v>135</v>
      </c>
      <c r="CN3" s="69" t="s">
        <v>120</v>
      </c>
      <c r="CO3" s="69" t="s">
        <v>119</v>
      </c>
      <c r="CP3" s="365" t="s">
        <v>122</v>
      </c>
      <c r="CQ3" s="70" t="s">
        <v>96</v>
      </c>
      <c r="CR3" s="365" t="s">
        <v>101</v>
      </c>
      <c r="CS3" s="365" t="s">
        <v>116</v>
      </c>
      <c r="CT3" s="366" t="s">
        <v>137</v>
      </c>
      <c r="CU3" s="366" t="s">
        <v>138</v>
      </c>
      <c r="CV3" s="365" t="s">
        <v>102</v>
      </c>
      <c r="CW3" s="365" t="s">
        <v>104</v>
      </c>
      <c r="CX3" s="365" t="s">
        <v>135</v>
      </c>
      <c r="CY3" s="365" t="s">
        <v>120</v>
      </c>
      <c r="CZ3" s="365" t="s">
        <v>121</v>
      </c>
      <c r="DA3" s="367" t="s">
        <v>213</v>
      </c>
      <c r="DB3" s="132" t="s">
        <v>220</v>
      </c>
      <c r="DC3" s="132" t="s">
        <v>212</v>
      </c>
      <c r="DD3" s="132"/>
      <c r="DE3" s="56" t="s">
        <v>199</v>
      </c>
      <c r="DF3" s="132" t="s">
        <v>215</v>
      </c>
      <c r="DG3" s="132" t="s">
        <v>209</v>
      </c>
      <c r="DH3" s="147" t="s">
        <v>201</v>
      </c>
      <c r="DI3" s="132" t="s">
        <v>218</v>
      </c>
      <c r="DJ3" s="134" t="s">
        <v>219</v>
      </c>
      <c r="DK3" s="134" t="s">
        <v>211</v>
      </c>
      <c r="DL3" s="248" t="s">
        <v>113</v>
      </c>
      <c r="DM3" s="136" t="s">
        <v>133</v>
      </c>
      <c r="DN3" s="97" t="s">
        <v>224</v>
      </c>
      <c r="DO3" s="132" t="s">
        <v>223</v>
      </c>
      <c r="DP3" s="96" t="s">
        <v>347</v>
      </c>
      <c r="DQ3" s="134" t="s">
        <v>127</v>
      </c>
      <c r="DR3" s="56" t="s">
        <v>222</v>
      </c>
      <c r="DS3" s="373" t="s">
        <v>296</v>
      </c>
      <c r="DT3" s="369" t="s">
        <v>0</v>
      </c>
      <c r="DU3" s="373" t="s">
        <v>11</v>
      </c>
      <c r="DV3" s="26" t="s">
        <v>12</v>
      </c>
      <c r="DW3" s="62" t="s">
        <v>114</v>
      </c>
      <c r="DX3" s="355" t="s">
        <v>304</v>
      </c>
      <c r="DY3" s="355" t="s">
        <v>305</v>
      </c>
      <c r="DZ3" s="355" t="s">
        <v>357</v>
      </c>
      <c r="EA3" s="355" t="s">
        <v>298</v>
      </c>
      <c r="EB3" s="373" t="s">
        <v>125</v>
      </c>
      <c r="EC3" s="373" t="s">
        <v>126</v>
      </c>
      <c r="ED3" s="26" t="s">
        <v>205</v>
      </c>
      <c r="EE3" s="26" t="s">
        <v>327</v>
      </c>
      <c r="EF3" s="26" t="s">
        <v>155</v>
      </c>
      <c r="EG3" s="262" t="s">
        <v>206</v>
      </c>
      <c r="EI3" s="373" t="s">
        <v>176</v>
      </c>
      <c r="EJ3" s="167" t="s">
        <v>177</v>
      </c>
      <c r="EK3" s="373" t="s">
        <v>178</v>
      </c>
      <c r="EO3" s="447" t="s">
        <v>217</v>
      </c>
      <c r="EP3" s="447"/>
      <c r="ER3" s="249" t="s">
        <v>159</v>
      </c>
      <c r="ES3" s="373" t="s">
        <v>89</v>
      </c>
    </row>
    <row r="4" spans="1:168" ht="13" x14ac:dyDescent="0.3">
      <c r="A4" s="54"/>
      <c r="B4" s="410"/>
      <c r="AZ4" s="412">
        <f>IF($AB$20="x", EP4,EO4)</f>
        <v>40544</v>
      </c>
      <c r="BA4" s="59">
        <f t="shared" ref="BA4:BA27" si="0">IF(EA4&gt;0,"",DE4)</f>
        <v>50</v>
      </c>
      <c r="BB4" s="304">
        <f>IF(EA4&gt;0,"",DS4)</f>
        <v>-5.0125418235442759E-3</v>
      </c>
      <c r="BC4" s="234">
        <f t="shared" ref="BC4:BC28" si="1">IF(EA4&gt;0,"",DL4)</f>
        <v>0</v>
      </c>
      <c r="BD4" s="123">
        <f>IF(EA4&gt;0,"",DW4)</f>
        <v>0.984375</v>
      </c>
      <c r="BE4" s="4" t="str">
        <f t="shared" ref="BE4:BE28" si="2">IF(EA4&gt;0,"",IF(BS4&lt;5,"n/a",CT4))</f>
        <v>n/a</v>
      </c>
      <c r="BF4" s="3">
        <f t="shared" ref="BF4:BF28" si="3">IF(EA4&gt;0,"",BZ4)</f>
        <v>1</v>
      </c>
      <c r="BG4" s="126"/>
      <c r="BH4" s="448"/>
      <c r="BI4" s="448"/>
      <c r="BJ4" s="448"/>
      <c r="BK4" s="126"/>
      <c r="BL4" s="126"/>
      <c r="BM4" s="126"/>
      <c r="BN4" s="447" t="s">
        <v>90</v>
      </c>
      <c r="BO4" s="272">
        <f>AZ4</f>
        <v>40544</v>
      </c>
      <c r="BP4" s="381">
        <f>IF($AZ$31="d",Colony!H31,IF($AZ$31="n",Colony!H59,IF($AZ$31="p",Colony!H87,IF($AZ$31="a",Colony!H115,IF($AZ$31="b",Colony!H143,IF($AZ$31="c",Colony!H171,IF($AZ$31="r",Colony!H199,IF($AZ$31="s",Colony!H227,IF($AZ$31="f",Colony!H255,"error")))))))))</f>
        <v>8</v>
      </c>
      <c r="BQ4">
        <f t="shared" ref="BQ4:BQ27" si="4">BP4*$BP$44</f>
        <v>16000</v>
      </c>
      <c r="BR4" s="81">
        <f>IF($AZ$31="d",Colony!F31,IF($AZ$31="n",Colony!F59,IF($AZ$31="p",Colony!F87,IF($AZ$31="a",Colony!F115,IF($AZ$31="b",Colony!F143,IF($AZ$31="c",Colony!F171,IF($AZ$31="r",Colony!F199,IF($AZ$31="s",Colony!F227,IF($AZ$31="f",Colony!F255,"error")))))))))</f>
        <v>0</v>
      </c>
      <c r="BS4" s="17">
        <f t="shared" ref="BS4:BS27" si="5">IF(BR4=0,1,$BP$43*BR4)</f>
        <v>1</v>
      </c>
      <c r="BT4" s="21">
        <f t="shared" ref="BT4:BT27" si="6">IF(BQ4=0,0,BS4/BQ4)</f>
        <v>6.2500000000000001E-5</v>
      </c>
      <c r="BU4">
        <f>BS4*12/20</f>
        <v>0.6</v>
      </c>
      <c r="BV4" s="18">
        <f>CT4*BU4</f>
        <v>0</v>
      </c>
      <c r="BW4" s="18">
        <f t="shared" ref="BW4:BW27" si="7">BS4/20</f>
        <v>0.05</v>
      </c>
      <c r="BX4" s="141">
        <f>IF(BT4=0,0.001,(-$BP$42*LN(BT4))+$BP$41)</f>
        <v>53.401720006109592</v>
      </c>
      <c r="BY4" s="27">
        <f t="shared" ref="BY4:BY27" si="8">BX4+12</f>
        <v>65.401720006109599</v>
      </c>
      <c r="BZ4" s="32">
        <f t="shared" ref="BZ4:BZ27" si="9">IF(BR4=0,1,BX4/BY4)</f>
        <v>1</v>
      </c>
      <c r="CA4" s="130">
        <f t="shared" ref="CA4:CA27" si="10">1-BZ4</f>
        <v>0</v>
      </c>
      <c r="CB4" s="28">
        <f t="shared" ref="CB4:CB28" si="11">DE4*CA4</f>
        <v>0</v>
      </c>
      <c r="CC4" s="256">
        <f t="shared" ref="CC4:CC27" si="12">0.6*BS4</f>
        <v>0.6</v>
      </c>
      <c r="CD4" s="80">
        <f>IF($AZ$31="d",Colony!J31,IF($AZ$31="n",Colony!J59,IF($AZ$31="p",Colony!J87,IF($AZ$31="a",Colony!J115,IF($AZ$31="b",Colony!J143,IF($AZ$31="c",Colony!J171,IF($AZ$31="r",Colony!J199,IF($AZ$31="s",Colony!J199,IF($AZ$31="f",Colony!J255,"error")))))))))</f>
        <v>0</v>
      </c>
      <c r="CE4" s="106">
        <f>CD4*16/25</f>
        <v>0</v>
      </c>
      <c r="CF4" s="75">
        <f>CE4*$BP$42</f>
        <v>0</v>
      </c>
      <c r="CG4" s="102">
        <f>CF4*CA4</f>
        <v>0</v>
      </c>
      <c r="CH4" s="72">
        <f t="shared" ref="CH4:CH27" si="13">CF4*CB4</f>
        <v>0</v>
      </c>
      <c r="CI4" s="73">
        <f>IF(CE4=0,0,CH4/(CC4*CE4))</f>
        <v>0</v>
      </c>
      <c r="CJ4" s="361">
        <f>1-(_xlfn.POISSON.DIST(0,CI4,FALSE))</f>
        <v>0</v>
      </c>
      <c r="CK4" s="362">
        <f>IF(CJ4=0,0,CI4/CJ4)</f>
        <v>0</v>
      </c>
      <c r="CL4" s="73">
        <f t="shared" ref="CL4:CL27" si="14">BX4+15</f>
        <v>68.401720006109599</v>
      </c>
      <c r="CM4" s="360">
        <v>1</v>
      </c>
      <c r="CN4" s="84">
        <f t="shared" ref="CN4:CN27" si="15">(1+($BP$31*CM4))*$BP$46</f>
        <v>4.2749999999999995</v>
      </c>
      <c r="CO4" s="78">
        <f>LN(CN4)/14.75</f>
        <v>9.8493837450082944E-2</v>
      </c>
      <c r="CP4" s="103">
        <f>1-BZ4-CG4</f>
        <v>0</v>
      </c>
      <c r="CQ4" s="71">
        <f>(1-CE4)*CC4</f>
        <v>0.6</v>
      </c>
      <c r="CR4" s="71">
        <f t="shared" ref="CR4:CR27" si="16">CB4-CH4</f>
        <v>0</v>
      </c>
      <c r="CS4" s="74">
        <f t="shared" ref="CS4:CS27" si="17">CR4/CQ4</f>
        <v>0</v>
      </c>
      <c r="CT4" s="358">
        <f>1-(_xlfn.POISSON.DIST(0,CS4,FALSE))</f>
        <v>0</v>
      </c>
      <c r="CU4" s="360">
        <f>CS4/(CT4+0.000001)</f>
        <v>0</v>
      </c>
      <c r="CV4" s="76">
        <f t="shared" ref="CV4:CV28" si="18">1-CF4</f>
        <v>1</v>
      </c>
      <c r="CW4" s="74">
        <f t="shared" ref="CW4:CW28" si="19">BX4+12</f>
        <v>65.401720006109599</v>
      </c>
      <c r="CX4" s="359">
        <v>1</v>
      </c>
      <c r="CY4" s="83">
        <f>(1+($BP$29*CX4))*$BP$46</f>
        <v>2.2586249999999999</v>
      </c>
      <c r="CZ4" s="79">
        <f t="shared" ref="CZ4:CZ28" si="20">IF(DE4&gt;2*CQ4,0,LN(CY4)/12.5)</f>
        <v>0</v>
      </c>
      <c r="DA4" s="112">
        <f t="shared" ref="DA4:DA28" si="21">(CG4*CO4+CP4*CZ4)</f>
        <v>0</v>
      </c>
      <c r="DB4" s="55">
        <f t="shared" ref="DB4:DB28" si="22">IF(BT4&gt;0.25,$BV$38,$BV$37)</f>
        <v>-5.0125418235442863E-3</v>
      </c>
      <c r="DC4" s="133">
        <f t="shared" ref="DC4:DC27" si="23">DA4+DB4</f>
        <v>-5.0125418235442863E-3</v>
      </c>
      <c r="DD4" s="146"/>
      <c r="DE4" s="105">
        <f>IF(OR($AZ$31="n",$AZ$31="p"),0,AZ32)</f>
        <v>50</v>
      </c>
      <c r="DF4" s="241">
        <f t="shared" ref="DF4:DF27" si="24">DE4*$BP$30</f>
        <v>35</v>
      </c>
      <c r="DG4" s="240">
        <f>DF4</f>
        <v>35</v>
      </c>
      <c r="DH4" s="148">
        <f>DG4*EXP(DA4*$BP$36)-DG4</f>
        <v>0</v>
      </c>
      <c r="DI4" s="17">
        <f>DE4+DH4</f>
        <v>50</v>
      </c>
      <c r="DJ4" s="267">
        <f>DI4-DK4</f>
        <v>3.6699583446850781</v>
      </c>
      <c r="DK4" s="135">
        <f t="shared" ref="DK4:DK28" si="25">DI4*EXP((IF(BT4&gt;0.25,$BV$38,$BV$37)*$BP$36))</f>
        <v>46.330041655314922</v>
      </c>
      <c r="DL4" s="245">
        <f>Colony!AD4</f>
        <v>0</v>
      </c>
      <c r="DM4" s="137"/>
      <c r="DN4" s="239"/>
      <c r="DO4" s="266">
        <f t="shared" ref="DO4:DO28" si="26">DK4+DN4</f>
        <v>46.330041655314922</v>
      </c>
      <c r="DP4" s="399">
        <f>EJ$32</f>
        <v>0</v>
      </c>
      <c r="DQ4" s="135">
        <f>DO4*DP4</f>
        <v>0</v>
      </c>
      <c r="DR4" s="95">
        <f t="shared" ref="DR4:DR27" si="27">DO4-DQ4</f>
        <v>46.330041655314922</v>
      </c>
      <c r="DS4" s="29">
        <f t="shared" ref="DS4:DS28" si="28">LN(DR4/DE4)/$BP$36</f>
        <v>-5.0125418235442759E-3</v>
      </c>
      <c r="DT4" s="272">
        <f t="shared" ref="DT4:DT28" si="29">AZ4</f>
        <v>40544</v>
      </c>
      <c r="DU4" s="89">
        <f t="shared" ref="DU4:DU28" si="30">DE4*BZ4</f>
        <v>50</v>
      </c>
      <c r="DV4" s="29">
        <f t="shared" ref="DV4:DV28" si="31">IF(BQ4=0,0.001,DU4/BQ4)</f>
        <v>3.1250000000000002E-3</v>
      </c>
      <c r="DW4" s="145">
        <f t="shared" ref="DW4:DW27" si="32">DV4*315</f>
        <v>0.984375</v>
      </c>
      <c r="DX4" s="90"/>
      <c r="DY4" s="90"/>
      <c r="DZ4" s="90"/>
      <c r="EA4" s="90"/>
      <c r="EB4" s="90"/>
      <c r="EC4" s="90"/>
      <c r="ED4" s="12"/>
      <c r="EE4" s="12"/>
      <c r="EF4" s="238"/>
      <c r="EG4" s="263"/>
      <c r="EI4" s="356">
        <f>DE4</f>
        <v>50</v>
      </c>
      <c r="EJ4" s="163">
        <v>0</v>
      </c>
      <c r="EK4" s="357">
        <v>0.5</v>
      </c>
      <c r="EO4" s="2">
        <v>40544</v>
      </c>
      <c r="EP4" s="260">
        <v>42917</v>
      </c>
      <c r="EQ4" s="18"/>
      <c r="ER4" s="250"/>
      <c r="ET4" s="18"/>
      <c r="EU4" s="18"/>
      <c r="EV4" s="18"/>
      <c r="EW4" s="18"/>
      <c r="EX4" s="18"/>
      <c r="EY4" s="18"/>
      <c r="EZ4" s="18"/>
      <c r="FA4" s="18"/>
      <c r="FB4" s="18"/>
      <c r="FC4" s="18"/>
      <c r="FD4" s="18"/>
      <c r="FE4" s="18"/>
      <c r="FF4" s="18"/>
      <c r="FG4" s="18"/>
      <c r="FH4" s="18"/>
      <c r="FI4" s="18"/>
    </row>
    <row r="5" spans="1:168" ht="12.75" customHeight="1" x14ac:dyDescent="0.3">
      <c r="A5" s="54"/>
      <c r="B5" s="407"/>
      <c r="AE5" s="389"/>
      <c r="AF5" s="404"/>
      <c r="AZ5" s="412">
        <f t="shared" ref="AZ5:AZ28" si="33">IF($AB$20="x", EP5,EO5)</f>
        <v>40558</v>
      </c>
      <c r="BA5" s="59">
        <f t="shared" si="0"/>
        <v>46.330041655314922</v>
      </c>
      <c r="BB5" s="304">
        <f t="shared" ref="BB5:BB27" si="34">IF(EA5&gt;0,"",DS5)</f>
        <v>5.2233269783675549E-3</v>
      </c>
      <c r="BC5" s="234">
        <f t="shared" si="1"/>
        <v>0</v>
      </c>
      <c r="BD5" s="123">
        <f t="shared" ref="BD5:BD27" si="35">IF(EA5&gt;0,"",DW5)</f>
        <v>0.55057608541591319</v>
      </c>
      <c r="BE5" s="4">
        <f t="shared" si="2"/>
        <v>2.6839570643973465E-2</v>
      </c>
      <c r="BF5" s="3">
        <f t="shared" si="3"/>
        <v>0.60362064049089725</v>
      </c>
      <c r="BG5" s="449">
        <v>95</v>
      </c>
      <c r="BH5" s="451" t="s">
        <v>311</v>
      </c>
      <c r="BI5" s="452"/>
      <c r="BJ5" s="452"/>
      <c r="BK5" s="452"/>
      <c r="BL5" s="453"/>
      <c r="BN5" s="447"/>
      <c r="BO5" s="272">
        <f t="shared" ref="BO5:BO28" si="36">AZ5</f>
        <v>40558</v>
      </c>
      <c r="BP5" s="381">
        <f>IF($AZ$31="d",Colony!H32,IF($AZ$31="n",Colony!H60,IF($AZ$31="p",Colony!H88,IF($AZ$31="a",Colony!H116,IF($AZ$31="b",Colony!H144,IF($AZ$31="c",Colony!H172,IF($AZ$31="r",Colony!H200,IF($AZ$31="s",Colony!H228,IF($AZ$31="f",Colony!H256,"error")))))))))</f>
        <v>8</v>
      </c>
      <c r="BQ5">
        <f t="shared" si="4"/>
        <v>16000</v>
      </c>
      <c r="BR5" s="81">
        <f>IF($AZ$31="d",Colony!F32,IF($AZ$31="n",Colony!F60,IF($AZ$31="p",Colony!F88,IF($AZ$31="a",Colony!F116,IF($AZ$31="b",Colony!F144,IF($AZ$31="c",Colony!F172,IF($AZ$31="r",Colony!F200,IF($AZ$31="s",Colony!F228,IF($AZ$31="f",Colony!F256,"error")))))))))</f>
        <v>0.25</v>
      </c>
      <c r="BS5" s="17">
        <f t="shared" si="5"/>
        <v>1125</v>
      </c>
      <c r="BT5" s="21">
        <f t="shared" si="6"/>
        <v>7.03125E-2</v>
      </c>
      <c r="BU5">
        <f t="shared" ref="BU5:BU27" si="37">BS5*12/20</f>
        <v>675</v>
      </c>
      <c r="BV5" s="18">
        <f t="shared" ref="BV5:BV27" si="38">CT5*BU5</f>
        <v>18.116710184682088</v>
      </c>
      <c r="BW5" s="18">
        <f t="shared" si="7"/>
        <v>56.25</v>
      </c>
      <c r="BX5" s="141">
        <f t="shared" ref="BX5:BX27" si="39">IF(BT5=0,0.001,(-$BP$42*LN(BT5))+$BP$41)</f>
        <v>18.274028432916989</v>
      </c>
      <c r="BY5" s="27">
        <f t="shared" si="8"/>
        <v>30.274028432916989</v>
      </c>
      <c r="BZ5" s="32">
        <f t="shared" si="9"/>
        <v>0.60362064049089725</v>
      </c>
      <c r="CA5" s="130">
        <f t="shared" si="10"/>
        <v>0.39637935950910275</v>
      </c>
      <c r="CB5" s="28">
        <f t="shared" si="11"/>
        <v>18.364272237363778</v>
      </c>
      <c r="CC5" s="256">
        <f t="shared" si="12"/>
        <v>675</v>
      </c>
      <c r="CD5" s="80">
        <f>IF($AZ$31="d",Colony!J32,IF($AZ$31="n",Colony!J60,IF($AZ$31="p",Colony!J88,IF($AZ$31="a",Colony!J116,IF($AZ$31="b",Colony!J144,IF($AZ$31="c",Colony!J172,IF($AZ$31="r",Colony!J200,IF($AZ$31="s",Colony!J200,IF($AZ$31="f",Colony!J256,"error")))))))))</f>
        <v>0</v>
      </c>
      <c r="CE5" s="106">
        <f t="shared" ref="CE5:CE28" si="40">CD5*16/25</f>
        <v>0</v>
      </c>
      <c r="CF5" s="75">
        <f t="shared" ref="CF5:CF28" si="41">CE5*$BP$42</f>
        <v>0</v>
      </c>
      <c r="CG5" s="102">
        <f t="shared" ref="CG5:CG27" si="42">CF5*CA5</f>
        <v>0</v>
      </c>
      <c r="CH5" s="72">
        <f t="shared" si="13"/>
        <v>0</v>
      </c>
      <c r="CI5" s="73">
        <f t="shared" ref="CI5:CI27" si="43">IF(CE5=0,0,CH5/(CC5*CE5))</f>
        <v>0</v>
      </c>
      <c r="CJ5" s="361">
        <f t="shared" ref="CJ5:CJ28" si="44">1-(_xlfn.POISSON.DIST(0,CI5,FALSE))</f>
        <v>0</v>
      </c>
      <c r="CK5" s="362">
        <f t="shared" ref="CK5:CK27" si="45">IF(CJ5=0,0,CI5/CJ5)</f>
        <v>0</v>
      </c>
      <c r="CL5" s="73">
        <f t="shared" si="14"/>
        <v>33.274028432916992</v>
      </c>
      <c r="CM5" s="360">
        <v>1</v>
      </c>
      <c r="CN5" s="84">
        <f t="shared" si="15"/>
        <v>4.2749999999999995</v>
      </c>
      <c r="CO5" s="78">
        <f t="shared" ref="CO5:CO27" si="46">LN(CN5)/14.75</f>
        <v>9.8493837450082944E-2</v>
      </c>
      <c r="CP5" s="103">
        <f t="shared" ref="CP5:CP27" si="47">1-BZ5-CG5</f>
        <v>0.39637935950910275</v>
      </c>
      <c r="CQ5" s="71">
        <f t="shared" ref="CQ5:CQ27" si="48">(1-CE5)*CC5</f>
        <v>675</v>
      </c>
      <c r="CR5" s="71">
        <f>CB5-CH5</f>
        <v>18.364272237363778</v>
      </c>
      <c r="CS5" s="74">
        <f t="shared" si="17"/>
        <v>2.720632924053893E-2</v>
      </c>
      <c r="CT5" s="358">
        <f t="shared" ref="CT5:CT28" si="49">1-(_xlfn.POISSON.DIST(0,CS5,FALSE))</f>
        <v>2.6839570643973465E-2</v>
      </c>
      <c r="CU5" s="360">
        <f t="shared" ref="CU5:CU28" si="50">CS5/(CT5+0.000001)</f>
        <v>1.0136270797449527</v>
      </c>
      <c r="CV5" s="76">
        <f t="shared" si="18"/>
        <v>1</v>
      </c>
      <c r="CW5" s="74">
        <f t="shared" si="19"/>
        <v>30.274028432916989</v>
      </c>
      <c r="CX5" s="359">
        <v>1</v>
      </c>
      <c r="CY5" s="83">
        <f t="shared" ref="CY5:CY28" si="51">(1+($BP$29*CX5))*$BP$46</f>
        <v>2.2586249999999999</v>
      </c>
      <c r="CZ5" s="79">
        <f t="shared" si="20"/>
        <v>6.518049768398862E-2</v>
      </c>
      <c r="DA5" s="112">
        <f t="shared" si="21"/>
        <v>2.5836203924463966E-2</v>
      </c>
      <c r="DB5" s="55">
        <f t="shared" si="22"/>
        <v>-5.0125418235442863E-3</v>
      </c>
      <c r="DC5" s="133">
        <f t="shared" si="23"/>
        <v>2.0823662100919679E-2</v>
      </c>
      <c r="DD5" s="133"/>
      <c r="DE5" s="383">
        <f>IF(OR($AZ$31="n",$AZ$31="p"),0,DR4)</f>
        <v>46.330041655314922</v>
      </c>
      <c r="DF5" s="241">
        <f t="shared" si="24"/>
        <v>32.431029158720442</v>
      </c>
      <c r="DG5" s="241">
        <f>DF5*(1-EK4)</f>
        <v>16.215514579360221</v>
      </c>
      <c r="DH5" s="148">
        <f t="shared" ref="DH5:DH14" si="52">DG5*EXP(DA5*$BP$36)-DG5</f>
        <v>7.8046597759459821</v>
      </c>
      <c r="DI5" s="17">
        <f t="shared" ref="DI5:DI27" si="53">DE5+DH5</f>
        <v>54.134701431260908</v>
      </c>
      <c r="DJ5" s="267">
        <f t="shared" ref="DJ5:DJ27" si="54">DI5-DK5</f>
        <v>3.9734419850938281</v>
      </c>
      <c r="DK5" s="135">
        <f t="shared" si="25"/>
        <v>50.16125944616708</v>
      </c>
      <c r="DL5" s="245">
        <f>Colony!AD5</f>
        <v>0</v>
      </c>
      <c r="DM5" s="137">
        <f t="shared" ref="DM5:DM27" si="55">IF(EG5&gt;DU5*EF5,-DU5*EF5,-EG5)</f>
        <v>-7.1771525420288667E-4</v>
      </c>
      <c r="DN5" s="98">
        <f>DL5+DM5</f>
        <v>-7.1771525420288667E-4</v>
      </c>
      <c r="DO5" s="266">
        <f t="shared" si="26"/>
        <v>50.160541730912875</v>
      </c>
      <c r="DP5" s="399">
        <f>EK$32</f>
        <v>0</v>
      </c>
      <c r="DQ5" s="135">
        <f t="shared" ref="DQ5:DQ27" si="56">DO5*DP5</f>
        <v>0</v>
      </c>
      <c r="DR5" s="95">
        <f t="shared" si="27"/>
        <v>50.160541730912875</v>
      </c>
      <c r="DS5" s="29">
        <f t="shared" si="28"/>
        <v>5.2233269783675549E-3</v>
      </c>
      <c r="DT5" s="272">
        <f t="shared" si="29"/>
        <v>40558</v>
      </c>
      <c r="DU5" s="89">
        <f t="shared" si="30"/>
        <v>27.965769417951144</v>
      </c>
      <c r="DV5" s="29">
        <f t="shared" si="31"/>
        <v>1.7478605886219465E-3</v>
      </c>
      <c r="DW5" s="145">
        <f t="shared" si="32"/>
        <v>0.55057608541591319</v>
      </c>
      <c r="DX5" s="90"/>
      <c r="DY5" s="90"/>
      <c r="DZ5" s="90"/>
      <c r="EA5" s="90"/>
      <c r="EB5" s="17">
        <f t="shared" ref="EB5:EB28" si="57">BS4*0.9/20*$BP$36</f>
        <v>0.68437499999999996</v>
      </c>
      <c r="EC5" s="18">
        <f t="shared" ref="EC5:EC28" si="58">BQ5-BQ4</f>
        <v>0</v>
      </c>
      <c r="ED5" s="265">
        <f t="shared" ref="ED5:ED27" si="59">EB5-EC5</f>
        <v>0.68437499999999996</v>
      </c>
      <c r="EE5" s="265">
        <f>ED5/$BP$36</f>
        <v>4.4999999999999998E-2</v>
      </c>
      <c r="EF5" s="104">
        <f t="shared" ref="EF5:EF27" si="60">IF(DV5&gt;0.15,1,$BP$35)</f>
        <v>0.6</v>
      </c>
      <c r="EG5" s="264">
        <f t="shared" ref="EG5:EG27" si="61">ED5*EF5*DV5</f>
        <v>7.1771525420288667E-4</v>
      </c>
      <c r="EI5" s="17">
        <f t="shared" ref="EI5:EI28" si="62">DH5</f>
        <v>7.8046597759459821</v>
      </c>
      <c r="EJ5" s="163">
        <v>0</v>
      </c>
      <c r="EK5" s="37">
        <f>EJ$59</f>
        <v>0</v>
      </c>
      <c r="EO5" s="2">
        <v>40558</v>
      </c>
      <c r="EP5" s="260">
        <v>42931</v>
      </c>
      <c r="EQ5" s="18"/>
      <c r="ER5" s="250"/>
      <c r="ES5">
        <v>5.67</v>
      </c>
      <c r="ET5" s="18"/>
      <c r="EU5" s="18"/>
      <c r="EV5" s="18"/>
      <c r="EW5" s="18"/>
      <c r="EX5" s="18"/>
      <c r="EY5" s="18"/>
      <c r="EZ5" s="18"/>
      <c r="FA5" s="18"/>
      <c r="FB5" s="18"/>
      <c r="FC5" s="18"/>
      <c r="FD5" s="18"/>
      <c r="FE5" s="18"/>
      <c r="FF5" s="18"/>
      <c r="FG5" s="18"/>
      <c r="FH5" s="18"/>
      <c r="FI5" s="18"/>
      <c r="FJ5" s="18"/>
      <c r="FK5" s="18"/>
      <c r="FL5" s="18"/>
    </row>
    <row r="6" spans="1:168" ht="13" customHeight="1" x14ac:dyDescent="0.3">
      <c r="A6" s="54"/>
      <c r="B6" s="407"/>
      <c r="AE6" s="389"/>
      <c r="AF6" s="404"/>
      <c r="AZ6" s="412">
        <f t="shared" si="33"/>
        <v>40575</v>
      </c>
      <c r="BA6" s="59">
        <f t="shared" si="0"/>
        <v>50.160541730912875</v>
      </c>
      <c r="BB6" s="304">
        <f t="shared" si="34"/>
        <v>1.4156209170941484E-2</v>
      </c>
      <c r="BC6" s="234">
        <f t="shared" si="1"/>
        <v>0</v>
      </c>
      <c r="BD6" s="123">
        <f t="shared" si="35"/>
        <v>0.57728566813075266</v>
      </c>
      <c r="BE6" s="4">
        <f t="shared" si="2"/>
        <v>2.3115948537137609E-2</v>
      </c>
      <c r="BF6" s="3">
        <f t="shared" si="3"/>
        <v>0.58457196879000284</v>
      </c>
      <c r="BG6" s="450"/>
      <c r="BH6" s="454"/>
      <c r="BI6" s="455"/>
      <c r="BJ6" s="455"/>
      <c r="BK6" s="455"/>
      <c r="BL6" s="456"/>
      <c r="BN6" s="447"/>
      <c r="BO6" s="272">
        <f t="shared" si="36"/>
        <v>40575</v>
      </c>
      <c r="BP6" s="381">
        <f>IF($AZ$31="d",Colony!H33,IF($AZ$31="n",Colony!H61,IF($AZ$31="p",Colony!H89,IF($AZ$31="a",Colony!H117,IF($AZ$31="b",Colony!H145,IF($AZ$31="c",Colony!H173,IF($AZ$31="r",Colony!H201,IF($AZ$31="s",Colony!H229,IF($AZ$31="f",Colony!H257,"error")))))))))</f>
        <v>8</v>
      </c>
      <c r="BQ6">
        <f t="shared" si="4"/>
        <v>16000</v>
      </c>
      <c r="BR6" s="81">
        <f>IF($AZ$31="d",Colony!F33,IF($AZ$31="n",Colony!F61,IF($AZ$31="p",Colony!F89,IF($AZ$31="a",Colony!F117,IF($AZ$31="b",Colony!F145,IF($AZ$31="c",Colony!F173,IF($AZ$31="r",Colony!F201,IF($AZ$31="s",Colony!F229,IF($AZ$31="f",Colony!F257,"error")))))))))</f>
        <v>0.33</v>
      </c>
      <c r="BS6" s="17">
        <f t="shared" si="5"/>
        <v>1485</v>
      </c>
      <c r="BT6" s="21">
        <f t="shared" si="6"/>
        <v>9.2812500000000006E-2</v>
      </c>
      <c r="BU6">
        <f t="shared" si="37"/>
        <v>891</v>
      </c>
      <c r="BV6" s="18">
        <f t="shared" si="38"/>
        <v>20.596310146589609</v>
      </c>
      <c r="BW6" s="18">
        <f t="shared" si="7"/>
        <v>74.25</v>
      </c>
      <c r="BX6" s="141">
        <f t="shared" si="39"/>
        <v>16.88586974992559</v>
      </c>
      <c r="BY6" s="27">
        <f t="shared" si="8"/>
        <v>28.88586974992559</v>
      </c>
      <c r="BZ6" s="32">
        <f t="shared" si="9"/>
        <v>0.58457196879000284</v>
      </c>
      <c r="CA6" s="130">
        <f t="shared" si="10"/>
        <v>0.41542803120999716</v>
      </c>
      <c r="CB6" s="28">
        <f t="shared" si="11"/>
        <v>20.838095095700041</v>
      </c>
      <c r="CC6" s="256">
        <f t="shared" si="12"/>
        <v>891</v>
      </c>
      <c r="CD6" s="80">
        <f>IF($AZ$31="d",Colony!J33,IF($AZ$31="n",Colony!J61,IF($AZ$31="p",Colony!J89,IF($AZ$31="a",Colony!J117,IF($AZ$31="b",Colony!J145,IF($AZ$31="c",Colony!J173,IF($AZ$31="r",Colony!J201,IF($AZ$31="s",Colony!J201,IF($AZ$31="f",Colony!J257,"error")))))))))</f>
        <v>0</v>
      </c>
      <c r="CE6" s="106">
        <f t="shared" si="40"/>
        <v>0</v>
      </c>
      <c r="CF6" s="75">
        <f t="shared" si="41"/>
        <v>0</v>
      </c>
      <c r="CG6" s="102">
        <f t="shared" si="42"/>
        <v>0</v>
      </c>
      <c r="CH6" s="72">
        <f t="shared" si="13"/>
        <v>0</v>
      </c>
      <c r="CI6" s="73">
        <f t="shared" si="43"/>
        <v>0</v>
      </c>
      <c r="CJ6" s="361">
        <f t="shared" si="44"/>
        <v>0</v>
      </c>
      <c r="CK6" s="362">
        <f t="shared" si="45"/>
        <v>0</v>
      </c>
      <c r="CL6" s="73">
        <f t="shared" si="14"/>
        <v>31.88586974992559</v>
      </c>
      <c r="CM6" s="360">
        <v>1</v>
      </c>
      <c r="CN6" s="84">
        <f t="shared" si="15"/>
        <v>4.2749999999999995</v>
      </c>
      <c r="CO6" s="78">
        <f t="shared" si="46"/>
        <v>9.8493837450082944E-2</v>
      </c>
      <c r="CP6" s="103">
        <f t="shared" si="47"/>
        <v>0.41542803120999716</v>
      </c>
      <c r="CQ6" s="71">
        <f t="shared" si="48"/>
        <v>891</v>
      </c>
      <c r="CR6" s="71">
        <f t="shared" si="16"/>
        <v>20.838095095700041</v>
      </c>
      <c r="CS6" s="74">
        <f t="shared" si="17"/>
        <v>2.338731211638613E-2</v>
      </c>
      <c r="CT6" s="358">
        <f t="shared" si="49"/>
        <v>2.3115948537137609E-2</v>
      </c>
      <c r="CU6" s="360">
        <f t="shared" si="50"/>
        <v>1.0116954700493526</v>
      </c>
      <c r="CV6" s="76">
        <f t="shared" si="18"/>
        <v>1</v>
      </c>
      <c r="CW6" s="74">
        <f t="shared" si="19"/>
        <v>28.88586974992559</v>
      </c>
      <c r="CX6" s="359">
        <v>1</v>
      </c>
      <c r="CY6" s="83">
        <f t="shared" si="51"/>
        <v>2.2586249999999999</v>
      </c>
      <c r="CZ6" s="79">
        <f t="shared" si="20"/>
        <v>6.518049768398862E-2</v>
      </c>
      <c r="DA6" s="112">
        <f t="shared" si="21"/>
        <v>2.7077805826147171E-2</v>
      </c>
      <c r="DB6" s="55">
        <f t="shared" si="22"/>
        <v>-5.0125418235442863E-3</v>
      </c>
      <c r="DC6" s="133">
        <f t="shared" si="23"/>
        <v>2.2065264002602884E-2</v>
      </c>
      <c r="DD6" s="133"/>
      <c r="DE6" s="383">
        <f>IF(OR($AZ$31="n",$AZ$31="p"),0,DR5)</f>
        <v>50.160541730912875</v>
      </c>
      <c r="DF6" s="241">
        <f t="shared" si="24"/>
        <v>35.112379211639009</v>
      </c>
      <c r="DG6" s="241">
        <f>DF6*(1-EK5)</f>
        <v>35.112379211639009</v>
      </c>
      <c r="DH6" s="148">
        <f t="shared" si="52"/>
        <v>17.891338114681091</v>
      </c>
      <c r="DI6" s="17">
        <f t="shared" si="53"/>
        <v>68.051879845593959</v>
      </c>
      <c r="DJ6" s="267">
        <f t="shared" si="54"/>
        <v>4.9949512862168817</v>
      </c>
      <c r="DK6" s="135">
        <f t="shared" si="25"/>
        <v>63.056928559377077</v>
      </c>
      <c r="DL6" s="245">
        <f>Colony!AD6</f>
        <v>0</v>
      </c>
      <c r="DM6" s="137">
        <f t="shared" si="55"/>
        <v>-0.84659974098639401</v>
      </c>
      <c r="DN6" s="98">
        <f t="shared" ref="DN6:DN27" si="63">DL6+DM6</f>
        <v>-0.84659974098639401</v>
      </c>
      <c r="DO6" s="266">
        <f t="shared" si="26"/>
        <v>62.210328818390686</v>
      </c>
      <c r="DP6" s="399">
        <f>EL$32</f>
        <v>0</v>
      </c>
      <c r="DQ6" s="135">
        <f t="shared" si="56"/>
        <v>0</v>
      </c>
      <c r="DR6" s="95">
        <f t="shared" si="27"/>
        <v>62.210328818390686</v>
      </c>
      <c r="DS6" s="29">
        <f t="shared" si="28"/>
        <v>1.4156209170941484E-2</v>
      </c>
      <c r="DT6" s="272">
        <f t="shared" si="29"/>
        <v>40575</v>
      </c>
      <c r="DU6" s="89">
        <f t="shared" si="30"/>
        <v>29.322446635212835</v>
      </c>
      <c r="DV6" s="29">
        <f t="shared" si="31"/>
        <v>1.8326529147008022E-3</v>
      </c>
      <c r="DW6" s="145">
        <f t="shared" si="32"/>
        <v>0.57728566813075266</v>
      </c>
      <c r="DX6" t="str">
        <f t="shared" ref="DX6:DX28" si="64">IF(DX5=100,100,IF(CT4&gt;$BP$37,100,""))</f>
        <v/>
      </c>
      <c r="DY6" t="str">
        <f t="shared" ref="DY6:DY28" si="65">IF(DY5=100,100,IF(BS6&lt;100,IF(DV6&gt;$BP$38,100,""),""))</f>
        <v/>
      </c>
      <c r="EA6">
        <f>SUM(DX6:DZ6)</f>
        <v>0</v>
      </c>
      <c r="EB6" s="17">
        <f t="shared" si="57"/>
        <v>769.921875</v>
      </c>
      <c r="EC6" s="18">
        <f t="shared" si="58"/>
        <v>0</v>
      </c>
      <c r="ED6" s="265">
        <f t="shared" si="59"/>
        <v>769.921875</v>
      </c>
      <c r="EE6" s="265">
        <f t="shared" ref="EE6:EE28" si="66">ED6/$BP$36</f>
        <v>50.625</v>
      </c>
      <c r="EF6" s="104">
        <f t="shared" si="60"/>
        <v>0.6</v>
      </c>
      <c r="EG6" s="264">
        <f t="shared" si="61"/>
        <v>0.84659974098639401</v>
      </c>
      <c r="EI6" s="17">
        <f t="shared" si="62"/>
        <v>17.891338114681091</v>
      </c>
      <c r="EJ6" s="163">
        <v>0</v>
      </c>
      <c r="EK6" s="37">
        <f>EK$59</f>
        <v>0</v>
      </c>
      <c r="EO6" s="2">
        <v>40575</v>
      </c>
      <c r="EP6" s="260">
        <v>42948</v>
      </c>
      <c r="EQ6" s="18"/>
      <c r="ER6" s="250"/>
      <c r="ET6" s="18"/>
      <c r="EU6" s="18"/>
      <c r="EV6" s="18"/>
      <c r="EW6" s="18"/>
      <c r="EX6" s="18"/>
      <c r="EY6" s="18"/>
      <c r="EZ6" s="18"/>
      <c r="FA6" s="18"/>
      <c r="FB6" s="18"/>
      <c r="FC6" s="18"/>
      <c r="FD6" s="18"/>
      <c r="FE6" s="18"/>
      <c r="FF6" s="18"/>
      <c r="FG6" s="18"/>
      <c r="FH6" s="18"/>
      <c r="FI6" s="18"/>
      <c r="FJ6" s="18"/>
      <c r="FK6" s="18"/>
      <c r="FL6" s="18"/>
    </row>
    <row r="7" spans="1:168" ht="12.75" customHeight="1" x14ac:dyDescent="0.3">
      <c r="A7" s="54"/>
      <c r="B7" s="407"/>
      <c r="AE7" s="389"/>
      <c r="AF7" s="404"/>
      <c r="AZ7" s="412">
        <f t="shared" si="33"/>
        <v>40589</v>
      </c>
      <c r="BA7" s="59">
        <f t="shared" si="0"/>
        <v>62.210328818390686</v>
      </c>
      <c r="BB7" s="304">
        <f t="shared" si="34"/>
        <v>1.5990546388849801E-2</v>
      </c>
      <c r="BC7" s="234">
        <f t="shared" si="1"/>
        <v>0</v>
      </c>
      <c r="BD7" s="123">
        <f>IF(EA7&gt;0,"",DW7)</f>
        <v>0.70315491641159555</v>
      </c>
      <c r="BE7" s="4">
        <f t="shared" si="2"/>
        <v>1.5172120463763039E-2</v>
      </c>
      <c r="BF7" s="3">
        <f t="shared" si="3"/>
        <v>0.50234953281672068</v>
      </c>
      <c r="BG7" s="449">
        <v>90</v>
      </c>
      <c r="BH7" s="457" t="s">
        <v>1</v>
      </c>
      <c r="BI7" s="457"/>
      <c r="BJ7" s="457"/>
      <c r="BK7" s="457"/>
      <c r="BL7" s="457"/>
      <c r="BN7" s="447"/>
      <c r="BO7" s="272">
        <f t="shared" si="36"/>
        <v>40589</v>
      </c>
      <c r="BP7" s="381">
        <f>IF($AZ$31="d",Colony!H34,IF($AZ$31="n",Colony!H62,IF($AZ$31="p",Colony!H90,IF($AZ$31="a",Colony!H118,IF($AZ$31="b",Colony!H146,IF($AZ$31="c",Colony!H174,IF($AZ$31="r",Colony!H202,IF($AZ$31="s",Colony!H230,IF($AZ$31="f",Colony!H258,"error")))))))))</f>
        <v>7</v>
      </c>
      <c r="BQ7">
        <f t="shared" si="4"/>
        <v>14000</v>
      </c>
      <c r="BR7" s="81">
        <f>IF($AZ$31="d",Colony!F34,IF($AZ$31="n",Colony!F62,IF($AZ$31="p",Colony!F90,IF($AZ$31="a",Colony!F118,IF($AZ$31="b",Colony!F146,IF($AZ$31="c",Colony!F174,IF($AZ$31="r",Colony!F202,IF($AZ$31="s",Colony!F230,IF($AZ$31="f",Colony!F258,"error")))))))))</f>
        <v>0.75</v>
      </c>
      <c r="BS7" s="17">
        <f t="shared" si="5"/>
        <v>3375</v>
      </c>
      <c r="BT7" s="21">
        <f t="shared" si="6"/>
        <v>0.24107142857142858</v>
      </c>
      <c r="BU7">
        <f t="shared" si="37"/>
        <v>2025</v>
      </c>
      <c r="BV7" s="18">
        <f t="shared" si="38"/>
        <v>30.723543939120155</v>
      </c>
      <c r="BW7" s="18">
        <f t="shared" si="7"/>
        <v>168.75</v>
      </c>
      <c r="BX7" s="141">
        <f t="shared" si="39"/>
        <v>12.113310026453828</v>
      </c>
      <c r="BY7" s="27">
        <f t="shared" si="8"/>
        <v>24.113310026453828</v>
      </c>
      <c r="BZ7" s="32">
        <f t="shared" si="9"/>
        <v>0.50234953281672068</v>
      </c>
      <c r="CA7" s="130">
        <f t="shared" si="10"/>
        <v>0.49765046718327932</v>
      </c>
      <c r="CB7" s="28">
        <f t="shared" si="11"/>
        <v>30.958999200097551</v>
      </c>
      <c r="CC7" s="256">
        <f t="shared" si="12"/>
        <v>2025</v>
      </c>
      <c r="CD7" s="80">
        <f>IF($AZ$31="d",Colony!J34,IF($AZ$31="n",Colony!J62,IF($AZ$31="p",Colony!J90,IF($AZ$31="a",Colony!J118,IF($AZ$31="b",Colony!J146,IF($AZ$31="c",Colony!J174,IF($AZ$31="r",Colony!J202,IF($AZ$31="s",Colony!J202,IF($AZ$31="f",Colony!J258,"error")))))))))</f>
        <v>0</v>
      </c>
      <c r="CE7" s="106">
        <f t="shared" si="40"/>
        <v>0</v>
      </c>
      <c r="CF7" s="75">
        <f t="shared" si="41"/>
        <v>0</v>
      </c>
      <c r="CG7" s="102">
        <f t="shared" si="42"/>
        <v>0</v>
      </c>
      <c r="CH7" s="72">
        <f t="shared" si="13"/>
        <v>0</v>
      </c>
      <c r="CI7" s="73">
        <f t="shared" si="43"/>
        <v>0</v>
      </c>
      <c r="CJ7" s="361">
        <f t="shared" si="44"/>
        <v>0</v>
      </c>
      <c r="CK7" s="362">
        <f t="shared" si="45"/>
        <v>0</v>
      </c>
      <c r="CL7" s="73">
        <f t="shared" si="14"/>
        <v>27.113310026453828</v>
      </c>
      <c r="CM7" s="360">
        <v>1</v>
      </c>
      <c r="CN7" s="84">
        <f t="shared" si="15"/>
        <v>4.2749999999999995</v>
      </c>
      <c r="CO7" s="78">
        <f t="shared" si="46"/>
        <v>9.8493837450082944E-2</v>
      </c>
      <c r="CP7" s="103">
        <f t="shared" si="47"/>
        <v>0.49765046718327932</v>
      </c>
      <c r="CQ7" s="71">
        <f t="shared" si="48"/>
        <v>2025</v>
      </c>
      <c r="CR7" s="71">
        <f t="shared" si="16"/>
        <v>30.958999200097551</v>
      </c>
      <c r="CS7" s="74">
        <f t="shared" si="17"/>
        <v>1.528839466671484E-2</v>
      </c>
      <c r="CT7" s="358">
        <f t="shared" si="49"/>
        <v>1.5172120463763039E-2</v>
      </c>
      <c r="CU7" s="360">
        <f t="shared" si="50"/>
        <v>1.0075972640714943</v>
      </c>
      <c r="CV7" s="76">
        <f t="shared" si="18"/>
        <v>1</v>
      </c>
      <c r="CW7" s="74">
        <f t="shared" si="19"/>
        <v>24.113310026453828</v>
      </c>
      <c r="CX7" s="359">
        <v>1</v>
      </c>
      <c r="CY7" s="83">
        <f t="shared" si="51"/>
        <v>2.2586249999999999</v>
      </c>
      <c r="CZ7" s="79">
        <f t="shared" si="20"/>
        <v>6.518049768398862E-2</v>
      </c>
      <c r="DA7" s="112">
        <f t="shared" si="21"/>
        <v>3.2437105123675591E-2</v>
      </c>
      <c r="DB7" s="55">
        <f t="shared" si="22"/>
        <v>-5.0125418235442863E-3</v>
      </c>
      <c r="DC7" s="133">
        <f t="shared" si="23"/>
        <v>2.7424563300131304E-2</v>
      </c>
      <c r="DD7" s="133"/>
      <c r="DE7" s="383">
        <f>IF(OR($AZ$31="n",$AZ$31="p"),0,DR6)</f>
        <v>62.210328818390686</v>
      </c>
      <c r="DF7" s="241">
        <f t="shared" si="24"/>
        <v>43.547230172873476</v>
      </c>
      <c r="DG7" s="241">
        <f>DF7*(1-EK6)</f>
        <v>43.547230172873476</v>
      </c>
      <c r="DH7" s="148">
        <f t="shared" si="52"/>
        <v>27.771601207724324</v>
      </c>
      <c r="DI7" s="17">
        <f t="shared" si="53"/>
        <v>89.981930026115009</v>
      </c>
      <c r="DJ7" s="267">
        <f t="shared" si="54"/>
        <v>6.6045986994041925</v>
      </c>
      <c r="DK7" s="135">
        <f t="shared" si="25"/>
        <v>83.377331326710816</v>
      </c>
      <c r="DL7" s="245">
        <f>Colony!AD7</f>
        <v>0</v>
      </c>
      <c r="DM7" s="137">
        <f t="shared" si="55"/>
        <v>-4.0398551943108227</v>
      </c>
      <c r="DN7" s="98">
        <f t="shared" si="63"/>
        <v>-4.0398551943108227</v>
      </c>
      <c r="DO7" s="266">
        <f t="shared" si="26"/>
        <v>79.337476132399999</v>
      </c>
      <c r="DP7" s="399">
        <f>EM$32</f>
        <v>0</v>
      </c>
      <c r="DQ7" s="135">
        <f t="shared" si="56"/>
        <v>0</v>
      </c>
      <c r="DR7" s="95">
        <f t="shared" si="27"/>
        <v>79.337476132399999</v>
      </c>
      <c r="DS7" s="29">
        <f t="shared" si="28"/>
        <v>1.5990546388849801E-2</v>
      </c>
      <c r="DT7" s="272">
        <f t="shared" si="29"/>
        <v>40589</v>
      </c>
      <c r="DU7" s="89">
        <f t="shared" si="30"/>
        <v>31.251329618293134</v>
      </c>
      <c r="DV7" s="29">
        <f t="shared" si="31"/>
        <v>2.2322378298780809E-3</v>
      </c>
      <c r="DW7" s="145">
        <f t="shared" si="32"/>
        <v>0.70315491641159555</v>
      </c>
      <c r="DX7" t="str">
        <f t="shared" si="64"/>
        <v/>
      </c>
      <c r="DY7" t="str">
        <f t="shared" si="65"/>
        <v/>
      </c>
      <c r="EA7">
        <f t="shared" ref="EA7:EA28" si="67">SUM(DX7:DZ7)</f>
        <v>0</v>
      </c>
      <c r="EB7" s="17">
        <f t="shared" si="57"/>
        <v>1016.2968750000001</v>
      </c>
      <c r="EC7" s="18">
        <f t="shared" si="58"/>
        <v>-2000</v>
      </c>
      <c r="ED7" s="265">
        <f t="shared" si="59"/>
        <v>3016.296875</v>
      </c>
      <c r="EE7" s="265">
        <f t="shared" si="66"/>
        <v>198.3318493150685</v>
      </c>
      <c r="EF7" s="104">
        <f t="shared" si="60"/>
        <v>0.6</v>
      </c>
      <c r="EG7" s="264">
        <f t="shared" si="61"/>
        <v>4.0398551943108227</v>
      </c>
      <c r="EI7" s="17">
        <f t="shared" si="62"/>
        <v>27.771601207724324</v>
      </c>
      <c r="EJ7" s="163">
        <v>0</v>
      </c>
      <c r="EK7" s="37">
        <f>EL$59</f>
        <v>0</v>
      </c>
      <c r="EO7" s="2">
        <v>40589</v>
      </c>
      <c r="EP7" s="260">
        <v>42962</v>
      </c>
      <c r="EQ7" s="18"/>
      <c r="ER7" s="250"/>
      <c r="ES7">
        <v>6.3</v>
      </c>
      <c r="ET7" s="18"/>
      <c r="EU7" s="18"/>
      <c r="EV7" s="18"/>
      <c r="EW7" s="18"/>
      <c r="EX7" s="18"/>
      <c r="EY7" s="18"/>
      <c r="EZ7" s="18"/>
      <c r="FA7" s="18"/>
      <c r="FB7" s="18"/>
      <c r="FC7" s="18"/>
      <c r="FD7" s="18"/>
      <c r="FE7" s="18"/>
      <c r="FF7" s="18"/>
      <c r="FG7" s="18"/>
      <c r="FH7" s="18"/>
      <c r="FI7" s="18"/>
      <c r="FJ7" s="18"/>
      <c r="FK7" s="18"/>
      <c r="FL7" s="18"/>
    </row>
    <row r="8" spans="1:168" ht="13" x14ac:dyDescent="0.3">
      <c r="A8" s="54"/>
      <c r="B8" s="407"/>
      <c r="AE8" s="389"/>
      <c r="AF8" s="404"/>
      <c r="AZ8" s="412">
        <f t="shared" si="33"/>
        <v>40603</v>
      </c>
      <c r="BA8" s="59">
        <f t="shared" si="0"/>
        <v>79.337476132399999</v>
      </c>
      <c r="BB8" s="304">
        <f t="shared" si="34"/>
        <v>1.7582441983191453E-2</v>
      </c>
      <c r="BC8" s="234">
        <f t="shared" si="1"/>
        <v>0</v>
      </c>
      <c r="BD8" s="123">
        <f t="shared" si="35"/>
        <v>0.84038700157409219</v>
      </c>
      <c r="BE8" s="4">
        <f t="shared" si="2"/>
        <v>1.5430431419756974E-2</v>
      </c>
      <c r="BF8" s="3">
        <f t="shared" si="3"/>
        <v>0.47078045866951518</v>
      </c>
      <c r="BG8" s="450"/>
      <c r="BH8" s="457"/>
      <c r="BI8" s="457"/>
      <c r="BJ8" s="457"/>
      <c r="BK8" s="457"/>
      <c r="BL8" s="457"/>
      <c r="BN8" s="447"/>
      <c r="BO8" s="272">
        <f t="shared" si="36"/>
        <v>40603</v>
      </c>
      <c r="BP8" s="381">
        <f>IF($AZ$31="d",Colony!H35,IF($AZ$31="n",Colony!H63,IF($AZ$31="p",Colony!H91,IF($AZ$31="a",Colony!H119,IF($AZ$31="b",Colony!H147,IF($AZ$31="c",Colony!H175,IF($AZ$31="r",Colony!H203,IF($AZ$31="s",Colony!H231,IF($AZ$31="f",Colony!H259,"error")))))))))</f>
        <v>7</v>
      </c>
      <c r="BQ8">
        <f t="shared" si="4"/>
        <v>14000</v>
      </c>
      <c r="BR8" s="81">
        <f>IF($AZ$31="d",Colony!F35,IF($AZ$31="n",Colony!F63,IF($AZ$31="p",Colony!F91,IF($AZ$31="a",Colony!F119,IF($AZ$31="b",Colony!F147,IF($AZ$31="c",Colony!F175,IF($AZ$31="r",Colony!F203,IF($AZ$31="s",Colony!F231,IF($AZ$31="f",Colony!F259,"error")))))))))</f>
        <v>1</v>
      </c>
      <c r="BS8" s="17">
        <f t="shared" si="5"/>
        <v>4500</v>
      </c>
      <c r="BT8" s="21">
        <f t="shared" si="6"/>
        <v>0.32142857142857145</v>
      </c>
      <c r="BU8">
        <f t="shared" si="37"/>
        <v>2700</v>
      </c>
      <c r="BV8" s="18">
        <f t="shared" si="38"/>
        <v>41.66216483334383</v>
      </c>
      <c r="BW8" s="18">
        <f t="shared" si="7"/>
        <v>225</v>
      </c>
      <c r="BX8" s="141">
        <f t="shared" si="39"/>
        <v>10.674899664194921</v>
      </c>
      <c r="BY8" s="27">
        <f t="shared" si="8"/>
        <v>22.674899664194921</v>
      </c>
      <c r="BZ8" s="32">
        <f t="shared" si="9"/>
        <v>0.47078045866951518</v>
      </c>
      <c r="CA8" s="130">
        <f t="shared" si="10"/>
        <v>0.52921954133048477</v>
      </c>
      <c r="CB8" s="28">
        <f t="shared" si="11"/>
        <v>41.986942729107007</v>
      </c>
      <c r="CC8" s="256">
        <f t="shared" si="12"/>
        <v>2700</v>
      </c>
      <c r="CD8" s="80">
        <f>IF($AZ$31="d",Colony!J35,IF($AZ$31="n",Colony!J63,IF($AZ$31="p",Colony!J91,IF($AZ$31="a",Colony!J119,IF($AZ$31="b",Colony!J147,IF($AZ$31="c",Colony!J175,IF($AZ$31="r",Colony!J203,IF($AZ$31="s",Colony!J203,IF($AZ$31="f",Colony!J259,"error")))))))))</f>
        <v>0</v>
      </c>
      <c r="CE8" s="106">
        <f t="shared" si="40"/>
        <v>0</v>
      </c>
      <c r="CF8" s="75">
        <f t="shared" si="41"/>
        <v>0</v>
      </c>
      <c r="CG8" s="102">
        <f t="shared" si="42"/>
        <v>0</v>
      </c>
      <c r="CH8" s="72">
        <f t="shared" si="13"/>
        <v>0</v>
      </c>
      <c r="CI8" s="73">
        <f t="shared" si="43"/>
        <v>0</v>
      </c>
      <c r="CJ8" s="361">
        <f t="shared" si="44"/>
        <v>0</v>
      </c>
      <c r="CK8" s="362">
        <f t="shared" si="45"/>
        <v>0</v>
      </c>
      <c r="CL8" s="73">
        <f t="shared" si="14"/>
        <v>25.674899664194921</v>
      </c>
      <c r="CM8" s="360">
        <v>1</v>
      </c>
      <c r="CN8" s="84">
        <f t="shared" si="15"/>
        <v>4.2749999999999995</v>
      </c>
      <c r="CO8" s="78">
        <f t="shared" si="46"/>
        <v>9.8493837450082944E-2</v>
      </c>
      <c r="CP8" s="103">
        <f t="shared" si="47"/>
        <v>0.52921954133048477</v>
      </c>
      <c r="CQ8" s="71">
        <f t="shared" si="48"/>
        <v>2700</v>
      </c>
      <c r="CR8" s="71">
        <f t="shared" si="16"/>
        <v>41.986942729107007</v>
      </c>
      <c r="CS8" s="74">
        <f t="shared" si="17"/>
        <v>1.5550719529298892E-2</v>
      </c>
      <c r="CT8" s="358">
        <f t="shared" si="49"/>
        <v>1.5430431419756974E-2</v>
      </c>
      <c r="CU8" s="360">
        <f t="shared" si="50"/>
        <v>1.0077302037832467</v>
      </c>
      <c r="CV8" s="76">
        <f t="shared" si="18"/>
        <v>1</v>
      </c>
      <c r="CW8" s="74">
        <f t="shared" si="19"/>
        <v>22.674899664194921</v>
      </c>
      <c r="CX8" s="359">
        <v>1</v>
      </c>
      <c r="CY8" s="83">
        <f t="shared" si="51"/>
        <v>2.2586249999999999</v>
      </c>
      <c r="CZ8" s="79">
        <f t="shared" si="20"/>
        <v>6.518049768398862E-2</v>
      </c>
      <c r="DA8" s="112">
        <f t="shared" si="21"/>
        <v>3.4494793088013183E-2</v>
      </c>
      <c r="DB8" s="55">
        <f t="shared" si="22"/>
        <v>-6.0180723255630212E-3</v>
      </c>
      <c r="DC8" s="133">
        <f t="shared" si="23"/>
        <v>2.8476720762450163E-2</v>
      </c>
      <c r="DD8" s="133"/>
      <c r="DE8" s="383">
        <f>IF(OR($AZ$31="n",$AZ$31="p"),0,DR7)</f>
        <v>79.337476132399999</v>
      </c>
      <c r="DF8" s="241">
        <f t="shared" si="24"/>
        <v>55.536233292679995</v>
      </c>
      <c r="DG8" s="241">
        <f>DF8*(1-EK7)</f>
        <v>55.536233292679995</v>
      </c>
      <c r="DH8" s="148">
        <f t="shared" si="52"/>
        <v>38.308718498795912</v>
      </c>
      <c r="DI8" s="17">
        <f t="shared" si="53"/>
        <v>117.64619463119591</v>
      </c>
      <c r="DJ8" s="267">
        <f t="shared" si="54"/>
        <v>10.289496260146962</v>
      </c>
      <c r="DK8" s="135">
        <f t="shared" si="25"/>
        <v>107.35669837104895</v>
      </c>
      <c r="DL8" s="245">
        <f>Colony!AD8</f>
        <v>0</v>
      </c>
      <c r="DM8" s="137">
        <f t="shared" si="55"/>
        <v>-3.6973276341574457</v>
      </c>
      <c r="DN8" s="98">
        <f t="shared" si="63"/>
        <v>-3.6973276341574457</v>
      </c>
      <c r="DO8" s="266">
        <f t="shared" si="26"/>
        <v>103.6593707368915</v>
      </c>
      <c r="DP8" s="399">
        <f>EN$32</f>
        <v>0</v>
      </c>
      <c r="DQ8" s="135">
        <f t="shared" si="56"/>
        <v>0</v>
      </c>
      <c r="DR8" s="95">
        <f t="shared" si="27"/>
        <v>103.6593707368915</v>
      </c>
      <c r="DS8" s="29">
        <f t="shared" si="28"/>
        <v>1.7582441983191453E-2</v>
      </c>
      <c r="DT8" s="272">
        <f t="shared" si="29"/>
        <v>40603</v>
      </c>
      <c r="DU8" s="89">
        <f t="shared" si="30"/>
        <v>37.350533403292985</v>
      </c>
      <c r="DV8" s="29">
        <f t="shared" si="31"/>
        <v>2.6678952430923561E-3</v>
      </c>
      <c r="DW8" s="145">
        <f t="shared" si="32"/>
        <v>0.84038700157409219</v>
      </c>
      <c r="DX8" t="str">
        <f t="shared" si="64"/>
        <v/>
      </c>
      <c r="DY8" t="str">
        <f t="shared" si="65"/>
        <v/>
      </c>
      <c r="EA8">
        <f t="shared" si="67"/>
        <v>0</v>
      </c>
      <c r="EB8" s="17">
        <f t="shared" si="57"/>
        <v>2309.765625</v>
      </c>
      <c r="EC8" s="18">
        <f t="shared" si="58"/>
        <v>0</v>
      </c>
      <c r="ED8" s="265">
        <f t="shared" si="59"/>
        <v>2309.765625</v>
      </c>
      <c r="EE8" s="265">
        <f t="shared" si="66"/>
        <v>151.875</v>
      </c>
      <c r="EF8" s="104">
        <f t="shared" si="60"/>
        <v>0.6</v>
      </c>
      <c r="EG8" s="264">
        <f t="shared" si="61"/>
        <v>3.6973276341574457</v>
      </c>
      <c r="EI8" s="17">
        <f t="shared" si="62"/>
        <v>38.308718498795912</v>
      </c>
      <c r="EJ8" s="163">
        <v>0</v>
      </c>
      <c r="EK8" s="37">
        <f>EM$59</f>
        <v>0</v>
      </c>
      <c r="EO8" s="2">
        <v>40603</v>
      </c>
      <c r="EP8" s="260">
        <v>42979</v>
      </c>
      <c r="ER8" s="250"/>
    </row>
    <row r="9" spans="1:168" ht="12.75" customHeight="1" x14ac:dyDescent="0.3">
      <c r="A9" s="54"/>
      <c r="B9" s="407"/>
      <c r="AE9" s="389"/>
      <c r="AF9" s="404"/>
      <c r="AZ9" s="412">
        <f t="shared" si="33"/>
        <v>40617</v>
      </c>
      <c r="BA9" s="59">
        <f t="shared" si="0"/>
        <v>103.6593707368915</v>
      </c>
      <c r="BB9" s="304">
        <f t="shared" si="34"/>
        <v>2.2253279019456E-2</v>
      </c>
      <c r="BC9" s="234">
        <f t="shared" si="1"/>
        <v>0</v>
      </c>
      <c r="BD9" s="123">
        <f t="shared" si="35"/>
        <v>0.95015192641947144</v>
      </c>
      <c r="BE9" s="4">
        <f t="shared" si="2"/>
        <v>1.2415452291787088E-2</v>
      </c>
      <c r="BF9" s="3">
        <f t="shared" si="3"/>
        <v>0.34918467675703302</v>
      </c>
      <c r="BG9" s="449">
        <v>90</v>
      </c>
      <c r="BH9" s="451" t="s">
        <v>312</v>
      </c>
      <c r="BI9" s="452"/>
      <c r="BJ9" s="452"/>
      <c r="BK9" s="452"/>
      <c r="BL9" s="453"/>
      <c r="BN9" s="447"/>
      <c r="BO9" s="272">
        <f t="shared" si="36"/>
        <v>40617</v>
      </c>
      <c r="BP9" s="381">
        <f>IF($AZ$31="d",Colony!H36,IF($AZ$31="n",Colony!H64,IF($AZ$31="p",Colony!H92,IF($AZ$31="a",Colony!H120,IF($AZ$31="b",Colony!H148,IF($AZ$31="c",Colony!H176,IF($AZ$31="r",Colony!H204,IF($AZ$31="s",Colony!H232,IF($AZ$31="f",Colony!H260,"error")))))))))</f>
        <v>6</v>
      </c>
      <c r="BQ9">
        <f t="shared" si="4"/>
        <v>12000</v>
      </c>
      <c r="BR9" s="81">
        <f>IF($AZ$31="d",Colony!F36,IF($AZ$31="n",Colony!F64,IF($AZ$31="p",Colony!F92,IF($AZ$31="a",Colony!F120,IF($AZ$31="b",Colony!F148,IF($AZ$31="c",Colony!F176,IF($AZ$31="r",Colony!F204,IF($AZ$31="s",Colony!F232,IF($AZ$31="f",Colony!F260,"error")))))))))</f>
        <v>2</v>
      </c>
      <c r="BS9" s="17">
        <f t="shared" si="5"/>
        <v>9000</v>
      </c>
      <c r="BT9" s="21">
        <f t="shared" si="6"/>
        <v>0.75</v>
      </c>
      <c r="BU9">
        <f t="shared" si="37"/>
        <v>5400</v>
      </c>
      <c r="BV9" s="18">
        <f t="shared" si="38"/>
        <v>67.043442375650272</v>
      </c>
      <c r="BW9" s="18">
        <f t="shared" si="7"/>
        <v>450</v>
      </c>
      <c r="BX9" s="141">
        <f t="shared" si="39"/>
        <v>6.4384103622589048</v>
      </c>
      <c r="BY9" s="27">
        <f t="shared" si="8"/>
        <v>18.438410362258907</v>
      </c>
      <c r="BZ9" s="32">
        <f t="shared" si="9"/>
        <v>0.34918467675703302</v>
      </c>
      <c r="CA9" s="130">
        <f t="shared" si="10"/>
        <v>0.65081532324296698</v>
      </c>
      <c r="CB9" s="28">
        <f t="shared" si="11"/>
        <v>67.463106873292602</v>
      </c>
      <c r="CC9" s="256">
        <f t="shared" si="12"/>
        <v>5400</v>
      </c>
      <c r="CD9" s="80">
        <f>IF($AZ$31="d",Colony!J36,IF($AZ$31="n",Colony!J64,IF($AZ$31="p",Colony!J92,IF($AZ$31="a",Colony!J120,IF($AZ$31="b",Colony!J148,IF($AZ$31="c",Colony!J176,IF($AZ$31="r",Colony!J204,IF($AZ$31="s",Colony!J204,IF($AZ$31="f",Colony!J260,"error")))))))))</f>
        <v>0</v>
      </c>
      <c r="CE9" s="106">
        <f t="shared" si="40"/>
        <v>0</v>
      </c>
      <c r="CF9" s="75">
        <f t="shared" si="41"/>
        <v>0</v>
      </c>
      <c r="CG9" s="102">
        <f t="shared" si="42"/>
        <v>0</v>
      </c>
      <c r="CH9" s="72">
        <f t="shared" si="13"/>
        <v>0</v>
      </c>
      <c r="CI9" s="73">
        <f t="shared" si="43"/>
        <v>0</v>
      </c>
      <c r="CJ9" s="361">
        <f t="shared" si="44"/>
        <v>0</v>
      </c>
      <c r="CK9" s="362">
        <f t="shared" si="45"/>
        <v>0</v>
      </c>
      <c r="CL9" s="73">
        <f t="shared" si="14"/>
        <v>21.438410362258907</v>
      </c>
      <c r="CM9" s="360">
        <v>1</v>
      </c>
      <c r="CN9" s="84">
        <f t="shared" si="15"/>
        <v>4.2749999999999995</v>
      </c>
      <c r="CO9" s="78">
        <f t="shared" si="46"/>
        <v>9.8493837450082944E-2</v>
      </c>
      <c r="CP9" s="103">
        <f t="shared" si="47"/>
        <v>0.65081532324296698</v>
      </c>
      <c r="CQ9" s="71">
        <f t="shared" si="48"/>
        <v>5400</v>
      </c>
      <c r="CR9" s="71">
        <f t="shared" si="16"/>
        <v>67.463106873292602</v>
      </c>
      <c r="CS9" s="74">
        <f t="shared" si="17"/>
        <v>1.2493167939498629E-2</v>
      </c>
      <c r="CT9" s="358">
        <f t="shared" si="49"/>
        <v>1.2415452291787088E-2</v>
      </c>
      <c r="CU9" s="360">
        <f t="shared" si="50"/>
        <v>1.0061785480996279</v>
      </c>
      <c r="CV9" s="76">
        <f t="shared" si="18"/>
        <v>1</v>
      </c>
      <c r="CW9" s="74">
        <f t="shared" si="19"/>
        <v>18.438410362258907</v>
      </c>
      <c r="CX9" s="359">
        <v>1</v>
      </c>
      <c r="CY9" s="83">
        <f t="shared" si="51"/>
        <v>2.2586249999999999</v>
      </c>
      <c r="CZ9" s="79">
        <f t="shared" si="20"/>
        <v>6.518049768398862E-2</v>
      </c>
      <c r="DA9" s="112">
        <f t="shared" si="21"/>
        <v>4.2420466669342516E-2</v>
      </c>
      <c r="DB9" s="55">
        <f t="shared" si="22"/>
        <v>-6.0180723255630212E-3</v>
      </c>
      <c r="DC9" s="133">
        <f t="shared" si="23"/>
        <v>3.6402394343779496E-2</v>
      </c>
      <c r="DD9" s="133"/>
      <c r="DE9" s="383">
        <f>IF(OR($AZ$31="n",$AZ$31="p"),0,DR8)</f>
        <v>103.6593707368915</v>
      </c>
      <c r="DF9" s="241">
        <f t="shared" si="24"/>
        <v>72.561559515824044</v>
      </c>
      <c r="DG9" s="241">
        <f>DF9*(1-EK8)</f>
        <v>72.561559515824044</v>
      </c>
      <c r="DH9" s="148">
        <f t="shared" si="52"/>
        <v>65.759831193611163</v>
      </c>
      <c r="DI9" s="17">
        <f t="shared" si="53"/>
        <v>169.41920193050265</v>
      </c>
      <c r="DJ9" s="267">
        <f t="shared" si="54"/>
        <v>14.817633924546357</v>
      </c>
      <c r="DK9" s="135">
        <f t="shared" si="25"/>
        <v>154.6015680059563</v>
      </c>
      <c r="DL9" s="245">
        <f>Colony!AD9</f>
        <v>0</v>
      </c>
      <c r="DM9" s="137">
        <f t="shared" si="55"/>
        <v>-9.1932854547312548</v>
      </c>
      <c r="DN9" s="98">
        <f t="shared" si="63"/>
        <v>-9.1932854547312548</v>
      </c>
      <c r="DO9" s="266">
        <f t="shared" si="26"/>
        <v>145.40828255122503</v>
      </c>
      <c r="DP9" s="399">
        <f>EO$32</f>
        <v>0</v>
      </c>
      <c r="DQ9" s="135">
        <f t="shared" si="56"/>
        <v>0</v>
      </c>
      <c r="DR9" s="95">
        <f t="shared" si="27"/>
        <v>145.40828255122503</v>
      </c>
      <c r="DS9" s="29">
        <f t="shared" si="28"/>
        <v>2.2253279019456E-2</v>
      </c>
      <c r="DT9" s="272">
        <f t="shared" si="29"/>
        <v>40617</v>
      </c>
      <c r="DU9" s="89">
        <f t="shared" si="30"/>
        <v>36.196263863598908</v>
      </c>
      <c r="DV9" s="29">
        <f t="shared" si="31"/>
        <v>3.0163553219665759E-3</v>
      </c>
      <c r="DW9" s="145">
        <f t="shared" si="32"/>
        <v>0.95015192641947144</v>
      </c>
      <c r="DX9" t="str">
        <f t="shared" si="64"/>
        <v/>
      </c>
      <c r="DY9" t="str">
        <f t="shared" si="65"/>
        <v/>
      </c>
      <c r="EA9">
        <f t="shared" si="67"/>
        <v>0</v>
      </c>
      <c r="EB9" s="17">
        <f t="shared" si="57"/>
        <v>3079.6875</v>
      </c>
      <c r="EC9" s="18">
        <f t="shared" si="58"/>
        <v>-2000</v>
      </c>
      <c r="ED9" s="265">
        <f t="shared" si="59"/>
        <v>5079.6875</v>
      </c>
      <c r="EE9" s="265">
        <f t="shared" si="66"/>
        <v>334.00684931506851</v>
      </c>
      <c r="EF9" s="104">
        <f t="shared" si="60"/>
        <v>0.6</v>
      </c>
      <c r="EG9" s="264">
        <f t="shared" si="61"/>
        <v>9.1932854547312548</v>
      </c>
      <c r="EI9" s="17">
        <f t="shared" si="62"/>
        <v>65.759831193611163</v>
      </c>
      <c r="EJ9" s="164">
        <f>EO$57</f>
        <v>31.83822401543868</v>
      </c>
      <c r="EK9" s="37">
        <f>EN$59</f>
        <v>0</v>
      </c>
      <c r="EO9" s="2">
        <v>40617</v>
      </c>
      <c r="EP9" s="260">
        <v>42993</v>
      </c>
      <c r="ER9" s="250"/>
      <c r="ES9">
        <v>10.08</v>
      </c>
    </row>
    <row r="10" spans="1:168" ht="13" x14ac:dyDescent="0.3">
      <c r="A10" s="54"/>
      <c r="B10" s="407"/>
      <c r="AE10" s="389"/>
      <c r="AF10" s="404"/>
      <c r="AZ10" s="412">
        <f t="shared" si="33"/>
        <v>40634</v>
      </c>
      <c r="BA10" s="59">
        <f t="shared" si="0"/>
        <v>145.40828255122503</v>
      </c>
      <c r="BB10" s="304">
        <f t="shared" si="34"/>
        <v>2.9130793006311054E-2</v>
      </c>
      <c r="BC10" s="234">
        <f t="shared" si="1"/>
        <v>0</v>
      </c>
      <c r="BD10" s="123">
        <f t="shared" si="35"/>
        <v>1.0259508875187606</v>
      </c>
      <c r="BE10" s="4">
        <f t="shared" si="2"/>
        <v>1.2025731988939414E-2</v>
      </c>
      <c r="BF10" s="3">
        <f t="shared" si="3"/>
        <v>0.26878691260437249</v>
      </c>
      <c r="BG10" s="450"/>
      <c r="BH10" s="454"/>
      <c r="BI10" s="455"/>
      <c r="BJ10" s="455"/>
      <c r="BK10" s="455"/>
      <c r="BL10" s="456"/>
      <c r="BN10" s="447"/>
      <c r="BO10" s="272">
        <f t="shared" si="36"/>
        <v>40634</v>
      </c>
      <c r="BP10" s="381">
        <f>IF($AZ$31="d",Colony!H37,IF($AZ$31="n",Colony!H65,IF($AZ$31="p",Colony!H93,IF($AZ$31="a",Colony!H121,IF($AZ$31="b",Colony!H149,IF($AZ$31="c",Colony!H177,IF($AZ$31="r",Colony!H205,IF($AZ$31="s",Colony!H233,IF($AZ$31="f",Colony!H261,"error")))))))))</f>
        <v>6</v>
      </c>
      <c r="BQ10">
        <f t="shared" si="4"/>
        <v>12000</v>
      </c>
      <c r="BR10" s="81">
        <f>IF($AZ$31="d",Colony!F37,IF($AZ$31="n",Colony!F65,IF($AZ$31="p",Colony!F93,IF($AZ$31="a",Colony!F121,IF($AZ$31="b",Colony!F149,IF($AZ$31="c",Colony!F177,IF($AZ$31="r",Colony!F205,IF($AZ$31="s",Colony!F233,IF($AZ$31="f",Colony!F261,"error")))))))))</f>
        <v>3</v>
      </c>
      <c r="BS10" s="17">
        <f t="shared" si="5"/>
        <v>13500</v>
      </c>
      <c r="BT10" s="21">
        <f t="shared" si="6"/>
        <v>1.125</v>
      </c>
      <c r="BU10">
        <f t="shared" si="37"/>
        <v>8100</v>
      </c>
      <c r="BV10" s="18">
        <f t="shared" si="38"/>
        <v>97.408429110409259</v>
      </c>
      <c r="BW10" s="18">
        <f t="shared" si="7"/>
        <v>675</v>
      </c>
      <c r="BX10" s="141">
        <f t="shared" si="39"/>
        <v>4.4110848217180827</v>
      </c>
      <c r="BY10" s="27">
        <f t="shared" si="8"/>
        <v>16.411084821718084</v>
      </c>
      <c r="BZ10" s="32">
        <f t="shared" si="9"/>
        <v>0.26878691260437249</v>
      </c>
      <c r="CA10" s="130">
        <f t="shared" si="10"/>
        <v>0.73121308739562751</v>
      </c>
      <c r="CB10" s="28">
        <f t="shared" si="11"/>
        <v>106.324439217177</v>
      </c>
      <c r="CC10" s="256">
        <f t="shared" si="12"/>
        <v>8100</v>
      </c>
      <c r="CD10" s="80">
        <f>IF($AZ$31="d",Colony!J37,IF($AZ$31="n",Colony!J65,IF($AZ$31="p",Colony!J93,IF($AZ$31="a",Colony!J121,IF($AZ$31="b",Colony!J149,IF($AZ$31="c",Colony!J177,IF($AZ$31="r",Colony!J205,IF($AZ$31="s",Colony!J205,IF($AZ$31="f",Colony!J261,"error")))))))))</f>
        <v>0.03</v>
      </c>
      <c r="CE10" s="106">
        <f t="shared" si="40"/>
        <v>1.9199999999999998E-2</v>
      </c>
      <c r="CF10" s="75">
        <f t="shared" si="41"/>
        <v>9.5999999999999988E-2</v>
      </c>
      <c r="CG10" s="102">
        <f t="shared" si="42"/>
        <v>7.0196456389980233E-2</v>
      </c>
      <c r="CH10" s="72">
        <f t="shared" si="13"/>
        <v>10.207146164848991</v>
      </c>
      <c r="CI10" s="73">
        <f t="shared" si="43"/>
        <v>6.5632369887146297E-2</v>
      </c>
      <c r="CJ10" s="361">
        <f t="shared" si="44"/>
        <v>6.3524922545410534E-2</v>
      </c>
      <c r="CK10" s="362">
        <f t="shared" si="45"/>
        <v>1.0331751265061246</v>
      </c>
      <c r="CL10" s="73">
        <f t="shared" si="14"/>
        <v>19.411084821718084</v>
      </c>
      <c r="CM10" s="360">
        <v>1</v>
      </c>
      <c r="CN10" s="84">
        <f t="shared" si="15"/>
        <v>4.2749999999999995</v>
      </c>
      <c r="CO10" s="78">
        <f t="shared" si="46"/>
        <v>9.8493837450082944E-2</v>
      </c>
      <c r="CP10" s="103">
        <f t="shared" si="47"/>
        <v>0.66101663100564734</v>
      </c>
      <c r="CQ10" s="71">
        <f t="shared" si="48"/>
        <v>7944.4800000000005</v>
      </c>
      <c r="CR10" s="71">
        <f t="shared" si="16"/>
        <v>96.117293052328009</v>
      </c>
      <c r="CS10" s="74">
        <f t="shared" si="17"/>
        <v>1.2098626096651764E-2</v>
      </c>
      <c r="CT10" s="358">
        <f t="shared" si="49"/>
        <v>1.2025731988939414E-2</v>
      </c>
      <c r="CU10" s="360">
        <f t="shared" si="50"/>
        <v>1.005977858971038</v>
      </c>
      <c r="CV10" s="76">
        <f t="shared" si="18"/>
        <v>0.90400000000000003</v>
      </c>
      <c r="CW10" s="74">
        <f t="shared" si="19"/>
        <v>16.411084821718084</v>
      </c>
      <c r="CX10" s="359">
        <v>1</v>
      </c>
      <c r="CY10" s="83">
        <f t="shared" si="51"/>
        <v>2.2586249999999999</v>
      </c>
      <c r="CZ10" s="79">
        <f t="shared" si="20"/>
        <v>6.518049768398862E-2</v>
      </c>
      <c r="DA10" s="112">
        <f t="shared" si="21"/>
        <v>4.9999311351588104E-2</v>
      </c>
      <c r="DB10" s="55">
        <f t="shared" si="22"/>
        <v>-6.0180723255630212E-3</v>
      </c>
      <c r="DC10" s="133">
        <f t="shared" si="23"/>
        <v>4.3981239026025083E-2</v>
      </c>
      <c r="DD10" s="133"/>
      <c r="DE10" s="384">
        <f>IF(OR($AZ$31="n",$AZ$31="p"),AZ32,DR9)</f>
        <v>145.40828255122503</v>
      </c>
      <c r="DF10" s="241">
        <f t="shared" si="24"/>
        <v>101.78579778585751</v>
      </c>
      <c r="DG10" s="384">
        <f>IF(OR($AZ$31="n",$AZ$31="p"),(DF10*(1-0.5)),(DF10*(1-EK9)))</f>
        <v>101.78579778585751</v>
      </c>
      <c r="DH10" s="148">
        <f t="shared" si="52"/>
        <v>115.94877760718427</v>
      </c>
      <c r="DI10" s="17">
        <f t="shared" si="53"/>
        <v>261.3570601584093</v>
      </c>
      <c r="DJ10" s="267">
        <f t="shared" si="54"/>
        <v>22.858644102287542</v>
      </c>
      <c r="DK10" s="135">
        <f t="shared" si="25"/>
        <v>238.49841605612175</v>
      </c>
      <c r="DL10" s="245">
        <f>Colony!AD10</f>
        <v>0</v>
      </c>
      <c r="DM10" s="137">
        <f t="shared" si="55"/>
        <v>-12.036602376782602</v>
      </c>
      <c r="DN10" s="98">
        <f t="shared" si="63"/>
        <v>-12.036602376782602</v>
      </c>
      <c r="DO10" s="266">
        <f t="shared" si="26"/>
        <v>226.46181367933914</v>
      </c>
      <c r="DP10" s="399">
        <f>EP$32</f>
        <v>0</v>
      </c>
      <c r="DQ10" s="135">
        <f t="shared" si="56"/>
        <v>0</v>
      </c>
      <c r="DR10" s="95">
        <f t="shared" si="27"/>
        <v>226.46181367933914</v>
      </c>
      <c r="DS10" s="29">
        <f t="shared" si="28"/>
        <v>2.9130793006311054E-2</v>
      </c>
      <c r="DT10" s="272">
        <f t="shared" si="29"/>
        <v>40634</v>
      </c>
      <c r="DU10" s="89">
        <f t="shared" si="30"/>
        <v>39.083843334048019</v>
      </c>
      <c r="DV10" s="29">
        <f t="shared" si="31"/>
        <v>3.2569869445040018E-3</v>
      </c>
      <c r="DW10" s="145">
        <f t="shared" si="32"/>
        <v>1.0259508875187606</v>
      </c>
      <c r="DX10" t="str">
        <f t="shared" si="64"/>
        <v/>
      </c>
      <c r="DY10" t="str">
        <f t="shared" si="65"/>
        <v/>
      </c>
      <c r="EA10">
        <f t="shared" si="67"/>
        <v>0</v>
      </c>
      <c r="EB10" s="17">
        <f t="shared" si="57"/>
        <v>6159.375</v>
      </c>
      <c r="EC10" s="18">
        <f t="shared" si="58"/>
        <v>0</v>
      </c>
      <c r="ED10" s="265">
        <f t="shared" si="59"/>
        <v>6159.375</v>
      </c>
      <c r="EE10" s="265">
        <f t="shared" si="66"/>
        <v>405</v>
      </c>
      <c r="EF10" s="104">
        <f t="shared" si="60"/>
        <v>0.6</v>
      </c>
      <c r="EG10" s="264">
        <f t="shared" si="61"/>
        <v>12.036602376782602</v>
      </c>
      <c r="EI10" s="17">
        <f t="shared" si="62"/>
        <v>115.94877760718427</v>
      </c>
      <c r="EJ10" s="164">
        <f>EP$57</f>
        <v>34.059788993392985</v>
      </c>
      <c r="EK10" s="385">
        <f>IF(OR($AZ$31="n",$AZ$31="p"),0.15,EO59)</f>
        <v>0.18206762707589788</v>
      </c>
      <c r="EO10" s="2">
        <v>40634</v>
      </c>
      <c r="EP10" s="260">
        <v>43009</v>
      </c>
      <c r="ER10" s="250"/>
    </row>
    <row r="11" spans="1:168" ht="12.75" customHeight="1" x14ac:dyDescent="0.3">
      <c r="A11" s="54"/>
      <c r="B11" s="407"/>
      <c r="AE11" s="389"/>
      <c r="AF11" s="404"/>
      <c r="AZ11" s="412">
        <f t="shared" si="33"/>
        <v>40648</v>
      </c>
      <c r="BA11" s="59">
        <f t="shared" si="0"/>
        <v>226.46181367933914</v>
      </c>
      <c r="BB11" s="304">
        <f t="shared" si="34"/>
        <v>2.9872335658562781E-2</v>
      </c>
      <c r="BC11" s="234">
        <f t="shared" si="1"/>
        <v>0</v>
      </c>
      <c r="BD11" s="123">
        <f t="shared" si="35"/>
        <v>0.96057094334161486</v>
      </c>
      <c r="BE11" s="4">
        <f t="shared" si="2"/>
        <v>1.0997661119535262E-2</v>
      </c>
      <c r="BF11" s="3">
        <f t="shared" si="3"/>
        <v>0.21544870751458203</v>
      </c>
      <c r="BG11" s="449">
        <v>50</v>
      </c>
      <c r="BH11" s="457" t="s">
        <v>313</v>
      </c>
      <c r="BI11" s="457"/>
      <c r="BJ11" s="457"/>
      <c r="BK11" s="457"/>
      <c r="BL11" s="457"/>
      <c r="BN11" s="447"/>
      <c r="BO11" s="272">
        <f t="shared" si="36"/>
        <v>40648</v>
      </c>
      <c r="BP11" s="381">
        <f>IF($AZ$31="d",Colony!H38,IF($AZ$31="n",Colony!H66,IF($AZ$31="p",Colony!H94,IF($AZ$31="a",Colony!H122,IF($AZ$31="b",Colony!H150,IF($AZ$31="c",Colony!H178,IF($AZ$31="r",Colony!H206,IF($AZ$31="s",Colony!H234,IF($AZ$31="f",Colony!H262,"error")))))))))</f>
        <v>8</v>
      </c>
      <c r="BQ11">
        <f t="shared" si="4"/>
        <v>16000</v>
      </c>
      <c r="BR11" s="81">
        <f>IF($AZ$31="d",Colony!F38,IF($AZ$31="n",Colony!F66,IF($AZ$31="p",Colony!F94,IF($AZ$31="a",Colony!F122,IF($AZ$31="b",Colony!F150,IF($AZ$31="c",Colony!F178,IF($AZ$31="r",Colony!F206,IF($AZ$31="s",Colony!F234,IF($AZ$31="f",Colony!F262,"error")))))))))</f>
        <v>5</v>
      </c>
      <c r="BS11" s="17">
        <f t="shared" si="5"/>
        <v>22500</v>
      </c>
      <c r="BT11" s="21">
        <f t="shared" si="6"/>
        <v>1.40625</v>
      </c>
      <c r="BU11">
        <f t="shared" si="37"/>
        <v>13500</v>
      </c>
      <c r="BV11" s="18">
        <f t="shared" si="38"/>
        <v>148.46842511372606</v>
      </c>
      <c r="BW11" s="18">
        <f t="shared" si="7"/>
        <v>1125</v>
      </c>
      <c r="BX11" s="141">
        <f t="shared" si="39"/>
        <v>3.2953670651470341</v>
      </c>
      <c r="BY11" s="27">
        <f t="shared" si="8"/>
        <v>15.295367065147033</v>
      </c>
      <c r="BZ11" s="32">
        <f t="shared" si="9"/>
        <v>0.21544870751458203</v>
      </c>
      <c r="CA11" s="130">
        <f t="shared" si="10"/>
        <v>0.78455129248541799</v>
      </c>
      <c r="CB11" s="28">
        <f t="shared" si="11"/>
        <v>177.67090862071743</v>
      </c>
      <c r="CC11" s="256">
        <f t="shared" si="12"/>
        <v>13500</v>
      </c>
      <c r="CD11" s="80">
        <f>IF($AZ$31="d",Colony!J38,IF($AZ$31="n",Colony!J66,IF($AZ$31="p",Colony!J94,IF($AZ$31="a",Colony!J122,IF($AZ$31="b",Colony!J150,IF($AZ$31="c",Colony!J178,IF($AZ$31="r",Colony!J206,IF($AZ$31="s",Colony!J206,IF($AZ$31="f",Colony!J262,"error")))))))))</f>
        <v>0.06</v>
      </c>
      <c r="CE11" s="106">
        <f t="shared" si="40"/>
        <v>3.8399999999999997E-2</v>
      </c>
      <c r="CF11" s="75">
        <f t="shared" si="41"/>
        <v>0.19199999999999998</v>
      </c>
      <c r="CG11" s="102">
        <f t="shared" si="42"/>
        <v>0.15063384815720024</v>
      </c>
      <c r="CH11" s="72">
        <f t="shared" si="13"/>
        <v>34.112814455177741</v>
      </c>
      <c r="CI11" s="73">
        <f t="shared" si="43"/>
        <v>6.5804040229895333E-2</v>
      </c>
      <c r="CJ11" s="361">
        <f t="shared" si="44"/>
        <v>6.3685673744431681E-2</v>
      </c>
      <c r="CK11" s="362">
        <f t="shared" si="45"/>
        <v>1.0332628417179754</v>
      </c>
      <c r="CL11" s="73">
        <f t="shared" si="14"/>
        <v>18.295367065147033</v>
      </c>
      <c r="CM11" s="360">
        <v>1</v>
      </c>
      <c r="CN11" s="84">
        <f t="shared" si="15"/>
        <v>4.2749999999999995</v>
      </c>
      <c r="CO11" s="78">
        <f t="shared" si="46"/>
        <v>9.8493837450082944E-2</v>
      </c>
      <c r="CP11" s="103">
        <f t="shared" si="47"/>
        <v>0.63391744432821773</v>
      </c>
      <c r="CQ11" s="71">
        <f t="shared" si="48"/>
        <v>12981.6</v>
      </c>
      <c r="CR11" s="71">
        <f t="shared" si="16"/>
        <v>143.55809416553967</v>
      </c>
      <c r="CS11" s="74">
        <f t="shared" si="17"/>
        <v>1.1058582467919183E-2</v>
      </c>
      <c r="CT11" s="358">
        <f t="shared" si="49"/>
        <v>1.0997661119535262E-2</v>
      </c>
      <c r="CU11" s="360">
        <f t="shared" si="50"/>
        <v>1.0054480584257199</v>
      </c>
      <c r="CV11" s="76">
        <f t="shared" si="18"/>
        <v>0.80800000000000005</v>
      </c>
      <c r="CW11" s="74">
        <f t="shared" si="19"/>
        <v>15.295367065147033</v>
      </c>
      <c r="CX11" s="359">
        <v>1</v>
      </c>
      <c r="CY11" s="83">
        <f t="shared" si="51"/>
        <v>2.2586249999999999</v>
      </c>
      <c r="CZ11" s="79">
        <f t="shared" si="20"/>
        <v>6.518049768398862E-2</v>
      </c>
      <c r="DA11" s="112">
        <f t="shared" si="21"/>
        <v>5.6155560266751142E-2</v>
      </c>
      <c r="DB11" s="55">
        <f t="shared" si="22"/>
        <v>-6.0180723255630212E-3</v>
      </c>
      <c r="DC11" s="133">
        <f t="shared" si="23"/>
        <v>5.0137487941188122E-2</v>
      </c>
      <c r="DD11" s="133"/>
      <c r="DE11" s="383">
        <f>DR10</f>
        <v>226.46181367933914</v>
      </c>
      <c r="DF11" s="241">
        <f t="shared" si="24"/>
        <v>158.5232695755374</v>
      </c>
      <c r="DG11" s="384">
        <f>IF(OR($AZ$31="n",$AZ$31="p"),(DF11*(1-0.25)),(DF11*(1-EK10)))</f>
        <v>129.66131404760642</v>
      </c>
      <c r="DH11" s="148">
        <f t="shared" si="52"/>
        <v>174.92614060655501</v>
      </c>
      <c r="DI11" s="17">
        <f t="shared" si="53"/>
        <v>401.38795428589412</v>
      </c>
      <c r="DJ11" s="267">
        <f t="shared" si="54"/>
        <v>35.105936638579465</v>
      </c>
      <c r="DK11" s="135">
        <f t="shared" si="25"/>
        <v>366.28201764731466</v>
      </c>
      <c r="DL11" s="245">
        <f>Colony!AD11</f>
        <v>0</v>
      </c>
      <c r="DM11" s="137">
        <f t="shared" si="55"/>
        <v>-9.5856975387631991</v>
      </c>
      <c r="DN11" s="98">
        <f t="shared" si="63"/>
        <v>-9.5856975387631991</v>
      </c>
      <c r="DO11" s="266">
        <f t="shared" si="26"/>
        <v>356.69632010855145</v>
      </c>
      <c r="DP11" s="399">
        <f>EQ$32</f>
        <v>0</v>
      </c>
      <c r="DQ11" s="135">
        <f t="shared" si="56"/>
        <v>0</v>
      </c>
      <c r="DR11" s="95">
        <f t="shared" si="27"/>
        <v>356.69632010855145</v>
      </c>
      <c r="DS11" s="29">
        <f t="shared" si="28"/>
        <v>2.9872335658562781E-2</v>
      </c>
      <c r="DT11" s="272">
        <f t="shared" si="29"/>
        <v>40648</v>
      </c>
      <c r="DU11" s="89">
        <f t="shared" si="30"/>
        <v>48.790905058621711</v>
      </c>
      <c r="DV11" s="29">
        <f t="shared" si="31"/>
        <v>3.0494315661638567E-3</v>
      </c>
      <c r="DW11" s="145">
        <f t="shared" si="32"/>
        <v>0.96057094334161486</v>
      </c>
      <c r="DX11" t="str">
        <f t="shared" si="64"/>
        <v/>
      </c>
      <c r="DY11" t="str">
        <f t="shared" si="65"/>
        <v/>
      </c>
      <c r="EA11">
        <f t="shared" si="67"/>
        <v>0</v>
      </c>
      <c r="EB11" s="17">
        <f t="shared" si="57"/>
        <v>9239.0625</v>
      </c>
      <c r="EC11" s="18">
        <f t="shared" si="58"/>
        <v>4000</v>
      </c>
      <c r="ED11" s="265">
        <f t="shared" si="59"/>
        <v>5239.0625</v>
      </c>
      <c r="EE11" s="265">
        <f t="shared" si="66"/>
        <v>344.48630136986299</v>
      </c>
      <c r="EF11" s="104">
        <f t="shared" si="60"/>
        <v>0.6</v>
      </c>
      <c r="EG11" s="264">
        <f t="shared" si="61"/>
        <v>9.5856975387631991</v>
      </c>
      <c r="EI11" s="17">
        <f t="shared" si="62"/>
        <v>174.92614060655501</v>
      </c>
      <c r="EJ11" s="164">
        <f>EQ$57</f>
        <v>42.512434672624074</v>
      </c>
      <c r="EK11" s="37">
        <f>EP$59</f>
        <v>0.12352815941056508</v>
      </c>
      <c r="EO11" s="2">
        <v>40648</v>
      </c>
      <c r="EP11" s="260">
        <v>43023</v>
      </c>
      <c r="ER11" s="250">
        <v>0.62</v>
      </c>
      <c r="ES11">
        <v>7.875</v>
      </c>
    </row>
    <row r="12" spans="1:168" ht="13" x14ac:dyDescent="0.3">
      <c r="A12" s="54"/>
      <c r="B12" s="407"/>
      <c r="AE12" s="389"/>
      <c r="AF12" s="404"/>
      <c r="AZ12" s="412">
        <f t="shared" si="33"/>
        <v>40664</v>
      </c>
      <c r="BA12" s="59">
        <f t="shared" si="0"/>
        <v>356.69632010855145</v>
      </c>
      <c r="BB12" s="304">
        <f t="shared" si="34"/>
        <v>2.9116138155455329E-2</v>
      </c>
      <c r="BC12" s="234">
        <f t="shared" si="1"/>
        <v>0</v>
      </c>
      <c r="BD12" s="123">
        <f t="shared" si="35"/>
        <v>1.2710631199841067</v>
      </c>
      <c r="BE12" s="4">
        <f t="shared" si="2"/>
        <v>1.3800626774722158E-2</v>
      </c>
      <c r="BF12" s="3">
        <f t="shared" si="3"/>
        <v>0.24887462343620659</v>
      </c>
      <c r="BG12" s="450"/>
      <c r="BH12" s="457"/>
      <c r="BI12" s="457"/>
      <c r="BJ12" s="457"/>
      <c r="BK12" s="457"/>
      <c r="BL12" s="457"/>
      <c r="BN12" s="447"/>
      <c r="BO12" s="272">
        <f t="shared" si="36"/>
        <v>40664</v>
      </c>
      <c r="BP12" s="381">
        <f>IF($AZ$31="d",Colony!H39,IF($AZ$31="n",Colony!H67,IF($AZ$31="p",Colony!H95,IF($AZ$31="a",Colony!H123,IF($AZ$31="b",Colony!H151,IF($AZ$31="c",Colony!H179,IF($AZ$31="r",Colony!H207,IF($AZ$31="s",Colony!H235,IF($AZ$31="f",Colony!H263,"error")))))))))</f>
        <v>11</v>
      </c>
      <c r="BQ12">
        <f t="shared" si="4"/>
        <v>22000</v>
      </c>
      <c r="BR12" s="81">
        <f>IF($AZ$31="d",Colony!F39,IF($AZ$31="n",Colony!F67,IF($AZ$31="p",Colony!F95,IF($AZ$31="a",Colony!F123,IF($AZ$31="b",Colony!F151,IF($AZ$31="c",Colony!F179,IF($AZ$31="r",Colony!F207,IF($AZ$31="s",Colony!F235,IF($AZ$31="f",Colony!F263,"error")))))))))</f>
        <v>6</v>
      </c>
      <c r="BS12" s="17">
        <f t="shared" si="5"/>
        <v>27000</v>
      </c>
      <c r="BT12" s="21">
        <f t="shared" si="6"/>
        <v>1.2272727272727273</v>
      </c>
      <c r="BU12">
        <f t="shared" si="37"/>
        <v>16200</v>
      </c>
      <c r="BV12" s="18">
        <f t="shared" si="38"/>
        <v>223.57015375049895</v>
      </c>
      <c r="BW12" s="18">
        <f t="shared" si="7"/>
        <v>1350</v>
      </c>
      <c r="BX12" s="141">
        <f t="shared" si="39"/>
        <v>3.9760279367699338</v>
      </c>
      <c r="BY12" s="27">
        <f t="shared" si="8"/>
        <v>15.976027936769935</v>
      </c>
      <c r="BZ12" s="32">
        <f t="shared" si="9"/>
        <v>0.24887462343620659</v>
      </c>
      <c r="CA12" s="130">
        <f t="shared" si="10"/>
        <v>0.75112537656379341</v>
      </c>
      <c r="CB12" s="28">
        <f t="shared" si="11"/>
        <v>267.92365776045511</v>
      </c>
      <c r="CC12" s="256">
        <f t="shared" si="12"/>
        <v>16200</v>
      </c>
      <c r="CD12" s="80">
        <f>IF($AZ$31="d",Colony!J39,IF($AZ$31="n",Colony!J67,IF($AZ$31="p",Colony!J95,IF($AZ$31="a",Colony!J123,IF($AZ$31="b",Colony!J151,IF($AZ$31="c",Colony!J179,IF($AZ$31="r",Colony!J207,IF($AZ$31="s",Colony!J207,IF($AZ$31="f",Colony!J263,"error")))))))))</f>
        <v>0.06</v>
      </c>
      <c r="CE12" s="106">
        <f t="shared" si="40"/>
        <v>3.8399999999999997E-2</v>
      </c>
      <c r="CF12" s="75">
        <f t="shared" si="41"/>
        <v>0.19199999999999998</v>
      </c>
      <c r="CG12" s="102">
        <f t="shared" si="42"/>
        <v>0.14421607230024833</v>
      </c>
      <c r="CH12" s="72">
        <f t="shared" si="13"/>
        <v>51.441342290007377</v>
      </c>
      <c r="CI12" s="73">
        <f t="shared" si="43"/>
        <v>8.2692486963103426E-2</v>
      </c>
      <c r="CJ12" s="361">
        <f t="shared" si="44"/>
        <v>7.9365789282955235E-2</v>
      </c>
      <c r="CK12" s="362">
        <f t="shared" si="45"/>
        <v>1.0419160158325627</v>
      </c>
      <c r="CL12" s="73">
        <f t="shared" si="14"/>
        <v>18.976027936769935</v>
      </c>
      <c r="CM12" s="360">
        <v>1</v>
      </c>
      <c r="CN12" s="84">
        <f t="shared" si="15"/>
        <v>4.2749999999999995</v>
      </c>
      <c r="CO12" s="78">
        <f t="shared" si="46"/>
        <v>9.8493837450082944E-2</v>
      </c>
      <c r="CP12" s="103">
        <f t="shared" si="47"/>
        <v>0.60690930426354506</v>
      </c>
      <c r="CQ12" s="71">
        <f t="shared" si="48"/>
        <v>15577.92</v>
      </c>
      <c r="CR12" s="71">
        <f t="shared" si="16"/>
        <v>216.48231547044773</v>
      </c>
      <c r="CS12" s="74">
        <f>CR12/CQ12</f>
        <v>1.3896740737559811E-2</v>
      </c>
      <c r="CT12" s="358">
        <f t="shared" si="49"/>
        <v>1.3800626774722158E-2</v>
      </c>
      <c r="CU12" s="360">
        <f t="shared" si="50"/>
        <v>1.0068915037618504</v>
      </c>
      <c r="CV12" s="76">
        <f t="shared" si="18"/>
        <v>0.80800000000000005</v>
      </c>
      <c r="CW12" s="74">
        <f t="shared" si="19"/>
        <v>15.976027936769935</v>
      </c>
      <c r="CX12" s="359">
        <v>1</v>
      </c>
      <c r="CY12" s="83">
        <f t="shared" si="51"/>
        <v>2.2586249999999999</v>
      </c>
      <c r="CZ12" s="79">
        <f t="shared" si="20"/>
        <v>6.518049768398862E-2</v>
      </c>
      <c r="DA12" s="112">
        <f t="shared" si="21"/>
        <v>5.3763044883771212E-2</v>
      </c>
      <c r="DB12" s="55">
        <f t="shared" si="22"/>
        <v>-6.0180723255630212E-3</v>
      </c>
      <c r="DC12" s="133">
        <f t="shared" si="23"/>
        <v>4.7744972558208192E-2</v>
      </c>
      <c r="DD12" s="133"/>
      <c r="DE12" s="383">
        <f t="shared" ref="DE12:DE28" si="68">DR11</f>
        <v>356.69632010855145</v>
      </c>
      <c r="DF12" s="241">
        <f t="shared" si="24"/>
        <v>249.687424075986</v>
      </c>
      <c r="DG12" s="241">
        <f t="shared" ref="DG12:DG28" si="69">DF12*(1-EK11)</f>
        <v>218.84399615191424</v>
      </c>
      <c r="DH12" s="148">
        <f t="shared" si="52"/>
        <v>276.87312176501246</v>
      </c>
      <c r="DI12" s="17">
        <f t="shared" si="53"/>
        <v>633.56944187356385</v>
      </c>
      <c r="DJ12" s="267">
        <f t="shared" si="54"/>
        <v>55.412845465490136</v>
      </c>
      <c r="DK12" s="135">
        <f t="shared" si="25"/>
        <v>578.15659640807371</v>
      </c>
      <c r="DL12" s="245">
        <f>Colony!AD12</f>
        <v>0</v>
      </c>
      <c r="DM12" s="137">
        <f t="shared" si="55"/>
        <v>-22.75429960328691</v>
      </c>
      <c r="DN12" s="98">
        <f t="shared" si="63"/>
        <v>-22.75429960328691</v>
      </c>
      <c r="DO12" s="266">
        <f t="shared" si="26"/>
        <v>555.40229680478683</v>
      </c>
      <c r="DP12" s="399">
        <f>ER$32</f>
        <v>0</v>
      </c>
      <c r="DQ12" s="135">
        <f t="shared" si="56"/>
        <v>0</v>
      </c>
      <c r="DR12" s="95">
        <f t="shared" si="27"/>
        <v>555.40229680478683</v>
      </c>
      <c r="DS12" s="29">
        <f t="shared" si="28"/>
        <v>2.9116138155455329E-2</v>
      </c>
      <c r="DT12" s="272">
        <f t="shared" si="29"/>
        <v>40664</v>
      </c>
      <c r="DU12" s="89">
        <f t="shared" si="30"/>
        <v>88.772662348096347</v>
      </c>
      <c r="DV12" s="29">
        <f t="shared" si="31"/>
        <v>4.0351210158225612E-3</v>
      </c>
      <c r="DW12" s="145">
        <f t="shared" si="32"/>
        <v>1.2710631199841067</v>
      </c>
      <c r="DX12" t="str">
        <f t="shared" si="64"/>
        <v/>
      </c>
      <c r="DY12" t="str">
        <f t="shared" si="65"/>
        <v/>
      </c>
      <c r="EA12">
        <f t="shared" si="67"/>
        <v>0</v>
      </c>
      <c r="EB12" s="17">
        <f t="shared" si="57"/>
        <v>15398.4375</v>
      </c>
      <c r="EC12" s="18">
        <f t="shared" si="58"/>
        <v>6000</v>
      </c>
      <c r="ED12" s="265">
        <f t="shared" si="59"/>
        <v>9398.4375</v>
      </c>
      <c r="EE12" s="265">
        <f t="shared" si="66"/>
        <v>617.97945205479448</v>
      </c>
      <c r="EF12" s="104">
        <f t="shared" si="60"/>
        <v>0.6</v>
      </c>
      <c r="EG12" s="264">
        <f t="shared" si="61"/>
        <v>22.75429960328691</v>
      </c>
      <c r="EI12" s="17">
        <f t="shared" si="62"/>
        <v>276.87312176501246</v>
      </c>
      <c r="EJ12" s="164">
        <f>ER$57</f>
        <v>56.526877866776601</v>
      </c>
      <c r="EK12" s="37">
        <f>EQ$59</f>
        <v>9.9595392433972196E-2</v>
      </c>
      <c r="EO12" s="2">
        <v>40664</v>
      </c>
      <c r="EP12" s="260">
        <v>43040</v>
      </c>
      <c r="ER12" s="250">
        <v>0.6</v>
      </c>
    </row>
    <row r="13" spans="1:168" ht="12.75" customHeight="1" x14ac:dyDescent="0.3">
      <c r="A13" s="54"/>
      <c r="B13" s="407"/>
      <c r="AE13" s="389"/>
      <c r="AF13" s="404"/>
      <c r="AZ13" s="412">
        <f t="shared" si="33"/>
        <v>40678</v>
      </c>
      <c r="BA13" s="59">
        <f t="shared" si="0"/>
        <v>555.40229680478683</v>
      </c>
      <c r="BB13" s="304">
        <f t="shared" si="34"/>
        <v>2.700365626231933E-2</v>
      </c>
      <c r="BC13" s="234">
        <f t="shared" si="1"/>
        <v>0</v>
      </c>
      <c r="BD13" s="123">
        <f t="shared" si="35"/>
        <v>1.7456396524463247</v>
      </c>
      <c r="BE13" s="4">
        <f t="shared" si="2"/>
        <v>1.8459427844696896E-2</v>
      </c>
      <c r="BF13" s="3">
        <f t="shared" si="3"/>
        <v>0.29933508814694854</v>
      </c>
      <c r="BG13" s="449" t="s">
        <v>310</v>
      </c>
      <c r="BH13" s="457" t="s">
        <v>314</v>
      </c>
      <c r="BI13" s="457"/>
      <c r="BJ13" s="457"/>
      <c r="BK13" s="457"/>
      <c r="BL13" s="457"/>
      <c r="BN13" s="447"/>
      <c r="BO13" s="272">
        <f t="shared" si="36"/>
        <v>40678</v>
      </c>
      <c r="BP13" s="381">
        <f>IF($AZ$31="d",Colony!H40,IF($AZ$31="n",Colony!H68,IF($AZ$31="p",Colony!H96,IF($AZ$31="a",Colony!H124,IF($AZ$31="b",Colony!H152,IF($AZ$31="c",Colony!H180,IF($AZ$31="r",Colony!H208,IF($AZ$31="s",Colony!H236,IF($AZ$31="f",Colony!H264,"error")))))))))</f>
        <v>15</v>
      </c>
      <c r="BQ13">
        <f t="shared" si="4"/>
        <v>30000</v>
      </c>
      <c r="BR13" s="81">
        <f>IF($AZ$31="d",Colony!F40,IF($AZ$31="n",Colony!F68,IF($AZ$31="p",Colony!F96,IF($AZ$31="a",Colony!F124,IF($AZ$31="b",Colony!F152,IF($AZ$31="c",Colony!F180,IF($AZ$31="r",Colony!F208,IF($AZ$31="s",Colony!F236,IF($AZ$31="f",Colony!F264,"error")))))))))</f>
        <v>6.5</v>
      </c>
      <c r="BS13" s="17">
        <f t="shared" si="5"/>
        <v>29250</v>
      </c>
      <c r="BT13" s="21">
        <f t="shared" si="6"/>
        <v>0.97499999999999998</v>
      </c>
      <c r="BU13">
        <f t="shared" si="37"/>
        <v>17550</v>
      </c>
      <c r="BV13" s="18">
        <f t="shared" si="38"/>
        <v>323.96295867443052</v>
      </c>
      <c r="BW13" s="18">
        <f t="shared" si="7"/>
        <v>1462.5</v>
      </c>
      <c r="BX13" s="141">
        <f t="shared" si="39"/>
        <v>5.1265890399214493</v>
      </c>
      <c r="BY13" s="27">
        <f t="shared" si="8"/>
        <v>17.126589039921448</v>
      </c>
      <c r="BZ13" s="32">
        <f t="shared" si="9"/>
        <v>0.29933508814694854</v>
      </c>
      <c r="CA13" s="130">
        <f t="shared" si="10"/>
        <v>0.70066491185305146</v>
      </c>
      <c r="CB13" s="28">
        <f t="shared" si="11"/>
        <v>389.1509013337083</v>
      </c>
      <c r="CC13" s="256">
        <f t="shared" si="12"/>
        <v>17550</v>
      </c>
      <c r="CD13" s="80">
        <f>IF($AZ$31="d",Colony!J40,IF($AZ$31="n",Colony!J68,IF($AZ$31="p",Colony!J96,IF($AZ$31="a",Colony!J124,IF($AZ$31="b",Colony!J152,IF($AZ$31="c",Colony!J180,IF($AZ$31="r",Colony!J208,IF($AZ$31="s",Colony!J208,IF($AZ$31="f",Colony!J264,"error")))))))))</f>
        <v>0.06</v>
      </c>
      <c r="CE13" s="106">
        <f t="shared" si="40"/>
        <v>3.8399999999999997E-2</v>
      </c>
      <c r="CF13" s="75">
        <f t="shared" si="41"/>
        <v>0.19199999999999998</v>
      </c>
      <c r="CG13" s="102">
        <f t="shared" si="42"/>
        <v>0.13452766307578587</v>
      </c>
      <c r="CH13" s="72">
        <f t="shared" si="13"/>
        <v>74.716973056071978</v>
      </c>
      <c r="CI13" s="73">
        <f t="shared" si="43"/>
        <v>0.11086920265917614</v>
      </c>
      <c r="CJ13" s="361">
        <f t="shared" si="44"/>
        <v>0.10494418780679393</v>
      </c>
      <c r="CK13" s="362">
        <f t="shared" si="45"/>
        <v>1.0564587232147662</v>
      </c>
      <c r="CL13" s="73">
        <f t="shared" si="14"/>
        <v>20.126589039921448</v>
      </c>
      <c r="CM13" s="360">
        <v>1</v>
      </c>
      <c r="CN13" s="84">
        <f t="shared" si="15"/>
        <v>4.2749999999999995</v>
      </c>
      <c r="CO13" s="78">
        <f t="shared" si="46"/>
        <v>9.8493837450082944E-2</v>
      </c>
      <c r="CP13" s="103">
        <f t="shared" si="47"/>
        <v>0.56613724877726557</v>
      </c>
      <c r="CQ13" s="71">
        <f t="shared" si="48"/>
        <v>16876.080000000002</v>
      </c>
      <c r="CR13" s="71">
        <f t="shared" si="16"/>
        <v>314.43392827763631</v>
      </c>
      <c r="CS13" s="74">
        <f t="shared" si="17"/>
        <v>1.8631929232240916E-2</v>
      </c>
      <c r="CT13" s="358">
        <f t="shared" si="49"/>
        <v>1.8459427844696896E-2</v>
      </c>
      <c r="CU13" s="360">
        <f t="shared" si="50"/>
        <v>1.0092902173766944</v>
      </c>
      <c r="CV13" s="76">
        <f t="shared" si="18"/>
        <v>0.80800000000000005</v>
      </c>
      <c r="CW13" s="74">
        <f t="shared" si="19"/>
        <v>17.126589039921448</v>
      </c>
      <c r="CX13" s="359">
        <v>1</v>
      </c>
      <c r="CY13" s="83">
        <f t="shared" si="51"/>
        <v>2.2586249999999999</v>
      </c>
      <c r="CZ13" s="79">
        <f t="shared" si="20"/>
        <v>6.518049768398862E-2</v>
      </c>
      <c r="DA13" s="112">
        <f t="shared" si="21"/>
        <v>5.0151253412272223E-2</v>
      </c>
      <c r="DB13" s="55">
        <f t="shared" si="22"/>
        <v>-6.0180723255630212E-3</v>
      </c>
      <c r="DC13" s="133">
        <f t="shared" si="23"/>
        <v>4.4133181086709203E-2</v>
      </c>
      <c r="DD13" s="133"/>
      <c r="DE13" s="383">
        <f t="shared" si="68"/>
        <v>555.40229680478683</v>
      </c>
      <c r="DF13" s="241">
        <f t="shared" si="24"/>
        <v>388.78160776335073</v>
      </c>
      <c r="DG13" s="241">
        <f t="shared" si="69"/>
        <v>350.06075096704916</v>
      </c>
      <c r="DH13" s="148">
        <f t="shared" si="52"/>
        <v>400.50232484233692</v>
      </c>
      <c r="DI13" s="17">
        <f t="shared" si="53"/>
        <v>955.9046216471238</v>
      </c>
      <c r="DJ13" s="267">
        <f t="shared" si="54"/>
        <v>83.604718880445262</v>
      </c>
      <c r="DK13" s="135">
        <f t="shared" si="25"/>
        <v>872.29990276667854</v>
      </c>
      <c r="DL13" s="245">
        <f>Colony!AD13</f>
        <v>0</v>
      </c>
      <c r="DM13" s="137">
        <f t="shared" si="55"/>
        <v>-34.840058063407895</v>
      </c>
      <c r="DN13" s="98">
        <f t="shared" si="63"/>
        <v>-34.840058063407895</v>
      </c>
      <c r="DO13" s="266">
        <f t="shared" si="26"/>
        <v>837.45984470327062</v>
      </c>
      <c r="DP13" s="399">
        <f>ES$32</f>
        <v>0</v>
      </c>
      <c r="DQ13" s="135">
        <f t="shared" si="56"/>
        <v>0</v>
      </c>
      <c r="DR13" s="95">
        <f t="shared" si="27"/>
        <v>837.45984470327062</v>
      </c>
      <c r="DS13" s="29">
        <f t="shared" si="28"/>
        <v>2.700365626231933E-2</v>
      </c>
      <c r="DT13" s="272">
        <f t="shared" si="29"/>
        <v>40678</v>
      </c>
      <c r="DU13" s="89">
        <f t="shared" si="30"/>
        <v>166.25139547107855</v>
      </c>
      <c r="DV13" s="29">
        <f t="shared" si="31"/>
        <v>5.5417131823692848E-3</v>
      </c>
      <c r="DW13" s="145">
        <f t="shared" si="32"/>
        <v>1.7456396524463247</v>
      </c>
      <c r="DX13" t="str">
        <f t="shared" si="64"/>
        <v/>
      </c>
      <c r="DY13" t="str">
        <f t="shared" si="65"/>
        <v/>
      </c>
      <c r="EA13">
        <f t="shared" si="67"/>
        <v>0</v>
      </c>
      <c r="EB13" s="17">
        <f t="shared" si="57"/>
        <v>18478.125</v>
      </c>
      <c r="EC13" s="18">
        <f t="shared" si="58"/>
        <v>8000</v>
      </c>
      <c r="ED13" s="265">
        <f t="shared" si="59"/>
        <v>10478.125</v>
      </c>
      <c r="EE13" s="265">
        <f t="shared" si="66"/>
        <v>688.97260273972597</v>
      </c>
      <c r="EF13" s="104">
        <f t="shared" si="60"/>
        <v>0.6</v>
      </c>
      <c r="EG13" s="264">
        <f t="shared" si="61"/>
        <v>34.840058063407895</v>
      </c>
      <c r="EI13" s="17">
        <f t="shared" si="62"/>
        <v>400.50232484233692</v>
      </c>
      <c r="EJ13" s="164">
        <f>ES$57</f>
        <v>76.041304913156168</v>
      </c>
      <c r="EK13" s="37">
        <f>ER$59</f>
        <v>8.4763166331309411E-2</v>
      </c>
      <c r="EO13" s="2">
        <v>40678</v>
      </c>
      <c r="EP13" s="260">
        <v>43054</v>
      </c>
      <c r="ER13" s="250">
        <v>0.57999999999999996</v>
      </c>
      <c r="ES13">
        <v>10.08</v>
      </c>
    </row>
    <row r="14" spans="1:168" ht="13" x14ac:dyDescent="0.3">
      <c r="A14" s="54"/>
      <c r="B14" s="407"/>
      <c r="AE14" s="389"/>
      <c r="AF14" s="404"/>
      <c r="AZ14" s="412">
        <f t="shared" si="33"/>
        <v>40695</v>
      </c>
      <c r="BA14" s="59">
        <f t="shared" si="0"/>
        <v>837.45984470327062</v>
      </c>
      <c r="BB14" s="304">
        <f t="shared" si="34"/>
        <v>2.6084260654346807E-2</v>
      </c>
      <c r="BC14" s="234">
        <f t="shared" si="1"/>
        <v>20</v>
      </c>
      <c r="BD14" s="123">
        <f t="shared" si="35"/>
        <v>2.2980357674402927</v>
      </c>
      <c r="BE14" s="4">
        <f t="shared" si="2"/>
        <v>2.5394514229100662E-2</v>
      </c>
      <c r="BF14" s="3">
        <f t="shared" si="3"/>
        <v>0.3310288417704309</v>
      </c>
      <c r="BG14" s="450"/>
      <c r="BH14" s="457"/>
      <c r="BI14" s="457"/>
      <c r="BJ14" s="457"/>
      <c r="BK14" s="457"/>
      <c r="BL14" s="457"/>
      <c r="BN14" s="447"/>
      <c r="BO14" s="272">
        <f t="shared" si="36"/>
        <v>40695</v>
      </c>
      <c r="BP14" s="381">
        <f>IF($AZ$31="d",Colony!H41,IF($AZ$31="n",Colony!H69,IF($AZ$31="p",Colony!H97,IF($AZ$31="a",Colony!H125,IF($AZ$31="b",Colony!H153,IF($AZ$31="c",Colony!H181,IF($AZ$31="r",Colony!H209,IF($AZ$31="s",Colony!H237,IF($AZ$31="f",Colony!H265,"error")))))))))</f>
        <v>19</v>
      </c>
      <c r="BQ14">
        <f t="shared" si="4"/>
        <v>38000</v>
      </c>
      <c r="BR14" s="81">
        <f>IF($AZ$31="d",Colony!F41,IF($AZ$31="n",Colony!F69,IF($AZ$31="p",Colony!F97,IF($AZ$31="a",Colony!F125,IF($AZ$31="b",Colony!F153,IF($AZ$31="c",Colony!F181,IF($AZ$31="r",Colony!F209,IF($AZ$31="s",Colony!F237,IF($AZ$31="f",Colony!F265,"error")))))))))</f>
        <v>7</v>
      </c>
      <c r="BS14" s="17">
        <f t="shared" si="5"/>
        <v>31500</v>
      </c>
      <c r="BT14" s="21">
        <f t="shared" si="6"/>
        <v>0.82894736842105265</v>
      </c>
      <c r="BU14">
        <f t="shared" si="37"/>
        <v>18900</v>
      </c>
      <c r="BV14" s="18">
        <f t="shared" si="38"/>
        <v>479.95631893000251</v>
      </c>
      <c r="BW14" s="18">
        <f t="shared" si="7"/>
        <v>1575</v>
      </c>
      <c r="BX14" s="141">
        <f t="shared" si="39"/>
        <v>5.9379930694739915</v>
      </c>
      <c r="BY14" s="27">
        <f t="shared" si="8"/>
        <v>17.93799306947399</v>
      </c>
      <c r="BZ14" s="32">
        <f t="shared" si="9"/>
        <v>0.3310288417704309</v>
      </c>
      <c r="CA14" s="130">
        <f t="shared" si="10"/>
        <v>0.6689711582295691</v>
      </c>
      <c r="CB14" s="28">
        <f t="shared" si="11"/>
        <v>560.236482281902</v>
      </c>
      <c r="CC14" s="256">
        <f t="shared" si="12"/>
        <v>18900</v>
      </c>
      <c r="CD14" s="80">
        <f>IF($AZ$31="d",Colony!J41,IF($AZ$31="n",Colony!J69,IF($AZ$31="p",Colony!J97,IF($AZ$31="a",Colony!J125,IF($AZ$31="b",Colony!J153,IF($AZ$31="c",Colony!J181,IF($AZ$31="r",Colony!J209,IF($AZ$31="s",Colony!J209,IF($AZ$31="f",Colony!J265,"error")))))))))</f>
        <v>0.05</v>
      </c>
      <c r="CE14" s="106">
        <f t="shared" si="40"/>
        <v>3.2000000000000001E-2</v>
      </c>
      <c r="CF14" s="75">
        <f t="shared" si="41"/>
        <v>0.16</v>
      </c>
      <c r="CG14" s="102">
        <f t="shared" si="42"/>
        <v>0.10703538531673105</v>
      </c>
      <c r="CH14" s="72">
        <f t="shared" si="13"/>
        <v>89.637837165104315</v>
      </c>
      <c r="CI14" s="73">
        <f t="shared" si="43"/>
        <v>0.14821070959838675</v>
      </c>
      <c r="CJ14" s="361">
        <f t="shared" si="44"/>
        <v>0.13775058842782595</v>
      </c>
      <c r="CK14" s="362">
        <f t="shared" si="45"/>
        <v>1.0759352195148071</v>
      </c>
      <c r="CL14" s="73">
        <f t="shared" si="14"/>
        <v>20.93799306947399</v>
      </c>
      <c r="CM14" s="360">
        <v>1</v>
      </c>
      <c r="CN14" s="84">
        <f t="shared" si="15"/>
        <v>4.2749999999999995</v>
      </c>
      <c r="CO14" s="78">
        <f t="shared" si="46"/>
        <v>9.8493837450082944E-2</v>
      </c>
      <c r="CP14" s="103">
        <f t="shared" si="47"/>
        <v>0.56193577291283803</v>
      </c>
      <c r="CQ14" s="71">
        <f t="shared" si="48"/>
        <v>18295.2</v>
      </c>
      <c r="CR14" s="71">
        <f t="shared" si="16"/>
        <v>470.59864511679768</v>
      </c>
      <c r="CS14" s="74">
        <f t="shared" si="17"/>
        <v>2.5722519847653901E-2</v>
      </c>
      <c r="CT14" s="358">
        <f t="shared" si="49"/>
        <v>2.5394514229100662E-2</v>
      </c>
      <c r="CU14" s="360">
        <f t="shared" si="50"/>
        <v>1.0128765110091185</v>
      </c>
      <c r="CV14" s="76">
        <f t="shared" si="18"/>
        <v>0.84</v>
      </c>
      <c r="CW14" s="74">
        <f t="shared" si="19"/>
        <v>17.93799306947399</v>
      </c>
      <c r="CX14" s="359">
        <v>1</v>
      </c>
      <c r="CY14" s="83">
        <f t="shared" si="51"/>
        <v>2.2586249999999999</v>
      </c>
      <c r="CZ14" s="79">
        <f t="shared" si="20"/>
        <v>6.518049768398862E-2</v>
      </c>
      <c r="DA14" s="112">
        <f t="shared" si="21"/>
        <v>4.7169579187688701E-2</v>
      </c>
      <c r="DB14" s="55">
        <f t="shared" si="22"/>
        <v>-6.0180723255630212E-3</v>
      </c>
      <c r="DC14" s="133">
        <f t="shared" si="23"/>
        <v>4.1151506862125681E-2</v>
      </c>
      <c r="DD14" s="133"/>
      <c r="DE14" s="383">
        <f t="shared" si="68"/>
        <v>837.45984470327062</v>
      </c>
      <c r="DF14" s="241">
        <f t="shared" si="24"/>
        <v>586.22189129228934</v>
      </c>
      <c r="DG14" s="241">
        <f t="shared" si="69"/>
        <v>536.53186761362622</v>
      </c>
      <c r="DH14" s="148">
        <f t="shared" si="52"/>
        <v>562.84261280839155</v>
      </c>
      <c r="DI14" s="17">
        <f t="shared" si="53"/>
        <v>1400.3024575116622</v>
      </c>
      <c r="DJ14" s="267">
        <f t="shared" si="54"/>
        <v>122.47235828416865</v>
      </c>
      <c r="DK14" s="135">
        <f t="shared" si="25"/>
        <v>1277.8300992274935</v>
      </c>
      <c r="DL14" s="245">
        <f>Colony!AD14</f>
        <v>20</v>
      </c>
      <c r="DM14" s="137">
        <f t="shared" si="55"/>
        <v>-52.605184837104197</v>
      </c>
      <c r="DN14" s="98">
        <f t="shared" si="63"/>
        <v>-32.605184837104197</v>
      </c>
      <c r="DO14" s="266">
        <f t="shared" si="26"/>
        <v>1245.2249143903894</v>
      </c>
      <c r="DP14" s="399">
        <f>ET$32</f>
        <v>0</v>
      </c>
      <c r="DQ14" s="135">
        <f t="shared" si="56"/>
        <v>0</v>
      </c>
      <c r="DR14" s="95">
        <f t="shared" si="27"/>
        <v>1245.2249143903894</v>
      </c>
      <c r="DS14" s="29">
        <f t="shared" si="28"/>
        <v>2.6084260654346807E-2</v>
      </c>
      <c r="DT14" s="272">
        <f t="shared" si="29"/>
        <v>40695</v>
      </c>
      <c r="DU14" s="89">
        <f t="shared" si="30"/>
        <v>277.22336242136862</v>
      </c>
      <c r="DV14" s="29">
        <f t="shared" si="31"/>
        <v>7.2953516426675956E-3</v>
      </c>
      <c r="DW14" s="145">
        <f t="shared" si="32"/>
        <v>2.2980357674402927</v>
      </c>
      <c r="DX14" t="str">
        <f t="shared" si="64"/>
        <v/>
      </c>
      <c r="DY14" t="str">
        <f t="shared" si="65"/>
        <v/>
      </c>
      <c r="EA14">
        <f t="shared" si="67"/>
        <v>0</v>
      </c>
      <c r="EB14" s="17">
        <f t="shared" si="57"/>
        <v>20017.96875</v>
      </c>
      <c r="EC14" s="18">
        <f t="shared" si="58"/>
        <v>8000</v>
      </c>
      <c r="ED14" s="265">
        <f t="shared" si="59"/>
        <v>12017.96875</v>
      </c>
      <c r="EE14" s="265">
        <f t="shared" si="66"/>
        <v>790.22260273972597</v>
      </c>
      <c r="EF14" s="104">
        <f t="shared" si="60"/>
        <v>0.6</v>
      </c>
      <c r="EG14" s="264">
        <f t="shared" si="61"/>
        <v>52.605184837104197</v>
      </c>
      <c r="EI14" s="17">
        <f t="shared" si="62"/>
        <v>562.84261280839155</v>
      </c>
      <c r="EJ14" s="164">
        <f>ET$57</f>
        <v>111.35120776135454</v>
      </c>
      <c r="EK14" s="37">
        <f>ES$59</f>
        <v>7.5301859980195285E-2</v>
      </c>
      <c r="EO14" s="2">
        <v>40695</v>
      </c>
      <c r="EP14" s="260">
        <v>43070</v>
      </c>
      <c r="ER14" s="250">
        <v>0.56999999999999995</v>
      </c>
    </row>
    <row r="15" spans="1:168" ht="12.75" customHeight="1" x14ac:dyDescent="0.3">
      <c r="A15" s="54"/>
      <c r="B15" s="407"/>
      <c r="AE15" s="389"/>
      <c r="AF15" s="404"/>
      <c r="AZ15" s="412">
        <f t="shared" si="33"/>
        <v>40709</v>
      </c>
      <c r="BA15" s="59">
        <f t="shared" si="0"/>
        <v>1245.2249143903894</v>
      </c>
      <c r="BB15" s="304">
        <f t="shared" si="34"/>
        <v>2.345074443189361E-2</v>
      </c>
      <c r="BC15" s="234">
        <f t="shared" si="1"/>
        <v>30</v>
      </c>
      <c r="BD15" s="123">
        <f t="shared" si="35"/>
        <v>3.2966410365177397</v>
      </c>
      <c r="BE15" s="4">
        <f t="shared" si="2"/>
        <v>3.8058797211145579E-2</v>
      </c>
      <c r="BF15" s="3">
        <f t="shared" si="3"/>
        <v>0.36979921223943024</v>
      </c>
      <c r="BG15" s="449" t="s">
        <v>3</v>
      </c>
      <c r="BH15" s="457" t="s">
        <v>4</v>
      </c>
      <c r="BI15" s="457"/>
      <c r="BJ15" s="457"/>
      <c r="BK15" s="457"/>
      <c r="BL15" s="457"/>
      <c r="BN15" s="447"/>
      <c r="BO15" s="272">
        <f t="shared" si="36"/>
        <v>40709</v>
      </c>
      <c r="BP15" s="381">
        <f>IF($AZ$31="d",Colony!H42,IF($AZ$31="n",Colony!H70,IF($AZ$31="p",Colony!H98,IF($AZ$31="a",Colony!H126,IF($AZ$31="b",Colony!H154,IF($AZ$31="c",Colony!H182,IF($AZ$31="r",Colony!H210,IF($AZ$31="s",Colony!H238,IF($AZ$31="f",Colony!H266,"error")))))))))</f>
        <v>22</v>
      </c>
      <c r="BQ15">
        <f t="shared" si="4"/>
        <v>44000</v>
      </c>
      <c r="BR15" s="81">
        <f>IF($AZ$31="d",Colony!F42,IF($AZ$31="n",Colony!F70,IF($AZ$31="p",Colony!F98,IF($AZ$31="a",Colony!F126,IF($AZ$31="b",Colony!F154,IF($AZ$31="c",Colony!F182,IF($AZ$31="r",Colony!F210,IF($AZ$31="s",Colony!F238,IF($AZ$31="f",Colony!F266,"error")))))))))</f>
        <v>6.5</v>
      </c>
      <c r="BS15" s="17">
        <f t="shared" si="5"/>
        <v>29250</v>
      </c>
      <c r="BT15" s="21">
        <f t="shared" si="6"/>
        <v>0.66477272727272729</v>
      </c>
      <c r="BU15">
        <f t="shared" si="37"/>
        <v>17550</v>
      </c>
      <c r="BV15" s="18">
        <f t="shared" si="38"/>
        <v>667.93189105560486</v>
      </c>
      <c r="BW15" s="18">
        <f t="shared" si="7"/>
        <v>1462.5</v>
      </c>
      <c r="BX15" s="141">
        <f t="shared" si="39"/>
        <v>7.041550301201978</v>
      </c>
      <c r="BY15" s="27">
        <f t="shared" si="8"/>
        <v>19.04155030120198</v>
      </c>
      <c r="BZ15" s="32">
        <f t="shared" si="9"/>
        <v>0.36979921223943024</v>
      </c>
      <c r="CA15" s="130">
        <f t="shared" si="10"/>
        <v>0.63020078776056976</v>
      </c>
      <c r="CB15" s="28">
        <f t="shared" si="11"/>
        <v>784.74172198791143</v>
      </c>
      <c r="CC15" s="256">
        <f t="shared" si="12"/>
        <v>17550</v>
      </c>
      <c r="CD15" s="80">
        <f>IF($AZ$31="d",Colony!J42,IF($AZ$31="n",Colony!J70,IF($AZ$31="p",Colony!J98,IF($AZ$31="a",Colony!J126,IF($AZ$31="b",Colony!J154,IF($AZ$31="c",Colony!J182,IF($AZ$31="r",Colony!J210,IF($AZ$31="s",Colony!J210,IF($AZ$31="f",Colony!J266,"error")))))))))</f>
        <v>0.05</v>
      </c>
      <c r="CE15" s="106">
        <f t="shared" si="40"/>
        <v>3.2000000000000001E-2</v>
      </c>
      <c r="CF15" s="75">
        <f t="shared" si="41"/>
        <v>0.16</v>
      </c>
      <c r="CG15" s="102">
        <f t="shared" si="42"/>
        <v>0.10083212604169116</v>
      </c>
      <c r="CH15" s="72">
        <f t="shared" si="13"/>
        <v>125.55867551806583</v>
      </c>
      <c r="CI15" s="73">
        <f t="shared" si="43"/>
        <v>0.22357314016749613</v>
      </c>
      <c r="CJ15" s="361">
        <f t="shared" si="44"/>
        <v>0.20034359727456541</v>
      </c>
      <c r="CK15" s="362">
        <f t="shared" si="45"/>
        <v>1.1159485164933685</v>
      </c>
      <c r="CL15" s="73">
        <f t="shared" si="14"/>
        <v>22.04155030120198</v>
      </c>
      <c r="CM15" s="360">
        <v>1</v>
      </c>
      <c r="CN15" s="84">
        <f t="shared" si="15"/>
        <v>4.2749999999999995</v>
      </c>
      <c r="CO15" s="78">
        <f t="shared" si="46"/>
        <v>9.8493837450082944E-2</v>
      </c>
      <c r="CP15" s="103">
        <f t="shared" si="47"/>
        <v>0.52936866171887864</v>
      </c>
      <c r="CQ15" s="71">
        <f t="shared" si="48"/>
        <v>16988.399999999998</v>
      </c>
      <c r="CR15" s="71">
        <f t="shared" si="16"/>
        <v>659.18304646984564</v>
      </c>
      <c r="CS15" s="74">
        <f t="shared" si="17"/>
        <v>3.8801949946424955E-2</v>
      </c>
      <c r="CT15" s="358">
        <f t="shared" si="49"/>
        <v>3.8058797211145579E-2</v>
      </c>
      <c r="CU15" s="360">
        <f t="shared" si="50"/>
        <v>1.0194996502782743</v>
      </c>
      <c r="CV15" s="76">
        <f t="shared" si="18"/>
        <v>0.84</v>
      </c>
      <c r="CW15" s="74">
        <f t="shared" si="19"/>
        <v>19.04155030120198</v>
      </c>
      <c r="CX15" s="359">
        <v>1</v>
      </c>
      <c r="CY15" s="83">
        <f t="shared" si="51"/>
        <v>2.2586249999999999</v>
      </c>
      <c r="CZ15" s="79">
        <f t="shared" si="20"/>
        <v>6.518049768398862E-2</v>
      </c>
      <c r="DA15" s="112">
        <f t="shared" si="21"/>
        <v>4.4435855861240131E-2</v>
      </c>
      <c r="DB15" s="55">
        <f t="shared" si="22"/>
        <v>-6.0180723255630212E-3</v>
      </c>
      <c r="DC15" s="133">
        <f t="shared" si="23"/>
        <v>3.8417783535677111E-2</v>
      </c>
      <c r="DD15" s="133"/>
      <c r="DE15" s="383">
        <f t="shared" si="68"/>
        <v>1245.2249143903894</v>
      </c>
      <c r="DF15" s="241">
        <f t="shared" si="24"/>
        <v>871.65744007327248</v>
      </c>
      <c r="DG15" s="241">
        <f t="shared" si="69"/>
        <v>806.02001357017946</v>
      </c>
      <c r="DH15" s="148">
        <f>DG15*EXP(DA15*$BP$36)-DG15</f>
        <v>778.28938522125043</v>
      </c>
      <c r="DI15" s="17">
        <f t="shared" si="53"/>
        <v>2023.5142996116397</v>
      </c>
      <c r="DJ15" s="267">
        <f t="shared" si="54"/>
        <v>176.97931398018068</v>
      </c>
      <c r="DK15" s="135">
        <f t="shared" si="25"/>
        <v>1846.534985631459</v>
      </c>
      <c r="DL15" s="245">
        <f>Colony!AD15</f>
        <v>30</v>
      </c>
      <c r="DM15" s="137">
        <f t="shared" si="55"/>
        <v>-97.692425001806939</v>
      </c>
      <c r="DN15" s="98">
        <f t="shared" si="63"/>
        <v>-67.692425001806939</v>
      </c>
      <c r="DO15" s="266">
        <f t="shared" si="26"/>
        <v>1778.8425606296521</v>
      </c>
      <c r="DP15" s="399">
        <f>EU$32</f>
        <v>0</v>
      </c>
      <c r="DQ15" s="135">
        <f t="shared" si="56"/>
        <v>0</v>
      </c>
      <c r="DR15" s="95">
        <f t="shared" si="27"/>
        <v>1778.8425606296521</v>
      </c>
      <c r="DS15" s="29">
        <f t="shared" si="28"/>
        <v>2.345074443189361E-2</v>
      </c>
      <c r="DT15" s="272">
        <f t="shared" si="29"/>
        <v>40709</v>
      </c>
      <c r="DU15" s="89">
        <f t="shared" si="30"/>
        <v>460.48319240247793</v>
      </c>
      <c r="DV15" s="29">
        <f t="shared" si="31"/>
        <v>1.0465527100056316E-2</v>
      </c>
      <c r="DW15" s="145">
        <f t="shared" si="32"/>
        <v>3.2966410365177397</v>
      </c>
      <c r="DX15" t="str">
        <f t="shared" si="64"/>
        <v/>
      </c>
      <c r="DY15" t="str">
        <f t="shared" si="65"/>
        <v/>
      </c>
      <c r="EA15">
        <f t="shared" si="67"/>
        <v>0</v>
      </c>
      <c r="EB15" s="17">
        <f t="shared" si="57"/>
        <v>21557.8125</v>
      </c>
      <c r="EC15" s="18">
        <f t="shared" si="58"/>
        <v>6000</v>
      </c>
      <c r="ED15" s="265">
        <f t="shared" si="59"/>
        <v>15557.8125</v>
      </c>
      <c r="EE15" s="265">
        <f t="shared" si="66"/>
        <v>1022.9794520547945</v>
      </c>
      <c r="EF15" s="104">
        <f t="shared" si="60"/>
        <v>0.6</v>
      </c>
      <c r="EG15" s="264">
        <f t="shared" si="61"/>
        <v>97.692425001806939</v>
      </c>
      <c r="EI15" s="17">
        <f t="shared" si="62"/>
        <v>778.28938522125043</v>
      </c>
      <c r="EJ15" s="164">
        <f>EU$57</f>
        <v>175.5718205572926</v>
      </c>
      <c r="EK15" s="37">
        <f>ET$59</f>
        <v>7.4958829689095938E-2</v>
      </c>
      <c r="EO15" s="2">
        <v>40709</v>
      </c>
      <c r="EP15" s="260">
        <v>43084</v>
      </c>
      <c r="ER15" s="250">
        <v>0.55000000000000004</v>
      </c>
      <c r="ES15">
        <v>5.9849999999999994</v>
      </c>
    </row>
    <row r="16" spans="1:168" ht="13" x14ac:dyDescent="0.3">
      <c r="A16" s="54"/>
      <c r="B16" s="407"/>
      <c r="AE16" s="389"/>
      <c r="AF16" s="404"/>
      <c r="AZ16" s="412">
        <f t="shared" si="33"/>
        <v>40725</v>
      </c>
      <c r="BA16" s="59">
        <f t="shared" si="0"/>
        <v>1778.8425606296521</v>
      </c>
      <c r="BB16" s="304">
        <f t="shared" si="34"/>
        <v>2.1961331965365281E-2</v>
      </c>
      <c r="BC16" s="234">
        <f t="shared" si="1"/>
        <v>45</v>
      </c>
      <c r="BD16" s="123">
        <f t="shared" si="35"/>
        <v>4.6260558178815501</v>
      </c>
      <c r="BE16" s="4">
        <f t="shared" si="2"/>
        <v>5.5902228089348638E-2</v>
      </c>
      <c r="BF16" s="3">
        <f t="shared" si="3"/>
        <v>0.39628172098980846</v>
      </c>
      <c r="BG16" s="450"/>
      <c r="BH16" s="457"/>
      <c r="BI16" s="457"/>
      <c r="BJ16" s="457"/>
      <c r="BK16" s="457"/>
      <c r="BL16" s="457"/>
      <c r="BN16" s="447"/>
      <c r="BO16" s="272">
        <f t="shared" si="36"/>
        <v>40725</v>
      </c>
      <c r="BP16" s="381">
        <f>IF($AZ$31="d",Colony!H43,IF($AZ$31="n",Colony!H71,IF($AZ$31="p",Colony!H99,IF($AZ$31="a",Colony!H127,IF($AZ$31="b",Colony!H155,IF($AZ$31="c",Colony!H183,IF($AZ$31="r",Colony!H211,IF($AZ$31="s",Colony!H239,IF($AZ$31="f",Colony!H267,"error")))))))))</f>
        <v>24</v>
      </c>
      <c r="BQ16">
        <f t="shared" si="4"/>
        <v>48000</v>
      </c>
      <c r="BR16" s="81">
        <f>IF($AZ$31="d",Colony!F43,IF($AZ$31="n",Colony!F71,IF($AZ$31="p",Colony!F99,IF($AZ$31="a",Colony!F127,IF($AZ$31="b",Colony!F155,IF($AZ$31="c",Colony!F183,IF($AZ$31="r",Colony!F211,IF($AZ$31="s",Colony!F239,IF($AZ$31="f",Colony!F267,"error")))))))))</f>
        <v>6</v>
      </c>
      <c r="BS16" s="17">
        <f t="shared" si="5"/>
        <v>27000</v>
      </c>
      <c r="BT16" s="21">
        <f t="shared" si="6"/>
        <v>0.5625</v>
      </c>
      <c r="BU16">
        <f t="shared" si="37"/>
        <v>16200</v>
      </c>
      <c r="BV16" s="18">
        <f t="shared" si="38"/>
        <v>905.61609504744797</v>
      </c>
      <c r="BW16" s="128">
        <f t="shared" si="7"/>
        <v>1350</v>
      </c>
      <c r="BX16" s="141">
        <f t="shared" si="39"/>
        <v>7.8768207245178088</v>
      </c>
      <c r="BY16" s="27">
        <f t="shared" si="8"/>
        <v>19.87682072451781</v>
      </c>
      <c r="BZ16" s="32">
        <f t="shared" si="9"/>
        <v>0.39628172098980846</v>
      </c>
      <c r="CA16" s="130">
        <f t="shared" si="10"/>
        <v>0.60371827901019159</v>
      </c>
      <c r="CB16" s="28">
        <f t="shared" si="11"/>
        <v>1073.9197693334161</v>
      </c>
      <c r="CC16" s="256">
        <f t="shared" si="12"/>
        <v>16200</v>
      </c>
      <c r="CD16" s="80">
        <f>IF($AZ$31="d",Colony!J43,IF($AZ$31="n",Colony!J71,IF($AZ$31="p",Colony!J99,IF($AZ$31="a",Colony!J127,IF($AZ$31="b",Colony!J155,IF($AZ$31="c",Colony!J183,IF($AZ$31="r",Colony!J211,IF($AZ$31="s",Colony!J211,IF($AZ$31="f",Colony!J267,"error")))))))))</f>
        <v>0.05</v>
      </c>
      <c r="CE16" s="106">
        <f t="shared" si="40"/>
        <v>3.2000000000000001E-2</v>
      </c>
      <c r="CF16" s="75">
        <f t="shared" si="41"/>
        <v>0.16</v>
      </c>
      <c r="CG16" s="102">
        <f t="shared" si="42"/>
        <v>9.6594924641630664E-2</v>
      </c>
      <c r="CH16" s="72">
        <f t="shared" si="13"/>
        <v>171.82716309334657</v>
      </c>
      <c r="CI16" s="73">
        <f t="shared" si="43"/>
        <v>0.33145671893006667</v>
      </c>
      <c r="CJ16" s="361">
        <f t="shared" si="44"/>
        <v>0.28212277396121332</v>
      </c>
      <c r="CK16" s="362">
        <f t="shared" si="45"/>
        <v>1.1748669356825332</v>
      </c>
      <c r="CL16" s="73">
        <f t="shared" si="14"/>
        <v>22.87682072451781</v>
      </c>
      <c r="CM16" s="360">
        <v>1</v>
      </c>
      <c r="CN16" s="84">
        <f t="shared" si="15"/>
        <v>4.2749999999999995</v>
      </c>
      <c r="CO16" s="78">
        <f t="shared" si="46"/>
        <v>9.8493837450082944E-2</v>
      </c>
      <c r="CP16" s="103">
        <f t="shared" si="47"/>
        <v>0.50712335436856093</v>
      </c>
      <c r="CQ16" s="71">
        <f t="shared" si="48"/>
        <v>15681.6</v>
      </c>
      <c r="CR16" s="71">
        <f t="shared" si="16"/>
        <v>902.09260624006947</v>
      </c>
      <c r="CS16" s="74">
        <f t="shared" si="17"/>
        <v>5.7525546260590081E-2</v>
      </c>
      <c r="CT16" s="358">
        <f t="shared" si="49"/>
        <v>5.5902228089348638E-2</v>
      </c>
      <c r="CU16" s="360">
        <f t="shared" si="50"/>
        <v>1.0290201161308348</v>
      </c>
      <c r="CV16" s="76">
        <f t="shared" si="18"/>
        <v>0.84</v>
      </c>
      <c r="CW16" s="74">
        <f t="shared" si="19"/>
        <v>19.87682072451781</v>
      </c>
      <c r="CX16" s="359">
        <v>1</v>
      </c>
      <c r="CY16" s="83">
        <f t="shared" si="51"/>
        <v>2.2586249999999999</v>
      </c>
      <c r="CZ16" s="79">
        <f t="shared" si="20"/>
        <v>6.518049768398862E-2</v>
      </c>
      <c r="DA16" s="112">
        <f t="shared" si="21"/>
        <v>4.256855743107231E-2</v>
      </c>
      <c r="DB16" s="55">
        <f t="shared" si="22"/>
        <v>-6.0180723255630212E-3</v>
      </c>
      <c r="DC16" s="133">
        <f t="shared" si="23"/>
        <v>3.6550485105509289E-2</v>
      </c>
      <c r="DD16" s="133"/>
      <c r="DE16" s="383">
        <f t="shared" si="68"/>
        <v>1778.8425606296521</v>
      </c>
      <c r="DF16" s="241">
        <f t="shared" si="24"/>
        <v>1245.1897924407565</v>
      </c>
      <c r="DG16" s="241">
        <f t="shared" si="69"/>
        <v>1151.851822858589</v>
      </c>
      <c r="DH16" s="148">
        <f>DG16*EXP(DA16*$BP$36)-DG16</f>
        <v>1048.831115988979</v>
      </c>
      <c r="DI16" s="17">
        <f t="shared" si="53"/>
        <v>2827.6736766186314</v>
      </c>
      <c r="DJ16" s="267">
        <f t="shared" si="54"/>
        <v>247.312187289127</v>
      </c>
      <c r="DK16" s="135">
        <f t="shared" si="25"/>
        <v>2580.3614893295044</v>
      </c>
      <c r="DL16" s="245">
        <f>Colony!AD16</f>
        <v>45</v>
      </c>
      <c r="DM16" s="137">
        <f t="shared" si="55"/>
        <v>-141.14289052682355</v>
      </c>
      <c r="DN16" s="98">
        <f t="shared" si="63"/>
        <v>-96.14289052682355</v>
      </c>
      <c r="DO16" s="266">
        <f t="shared" si="26"/>
        <v>2484.2185988026808</v>
      </c>
      <c r="DP16" s="399">
        <f>EV$32</f>
        <v>0</v>
      </c>
      <c r="DQ16" s="135">
        <f t="shared" si="56"/>
        <v>0</v>
      </c>
      <c r="DR16" s="95">
        <f t="shared" si="27"/>
        <v>2484.2185988026808</v>
      </c>
      <c r="DS16" s="29">
        <f t="shared" si="28"/>
        <v>2.1961331965365281E-2</v>
      </c>
      <c r="DT16" s="272">
        <f t="shared" si="29"/>
        <v>40725</v>
      </c>
      <c r="DU16" s="89">
        <f t="shared" si="30"/>
        <v>704.92279129623626</v>
      </c>
      <c r="DV16" s="29">
        <f t="shared" si="31"/>
        <v>1.4685891485338255E-2</v>
      </c>
      <c r="DW16" s="145">
        <f t="shared" si="32"/>
        <v>4.6260558178815501</v>
      </c>
      <c r="DX16" t="str">
        <f t="shared" si="64"/>
        <v/>
      </c>
      <c r="DY16" t="str">
        <f t="shared" si="65"/>
        <v/>
      </c>
      <c r="EA16">
        <f t="shared" si="67"/>
        <v>0</v>
      </c>
      <c r="EB16" s="17">
        <f t="shared" si="57"/>
        <v>20017.96875</v>
      </c>
      <c r="EC16" s="18">
        <f t="shared" si="58"/>
        <v>4000</v>
      </c>
      <c r="ED16" s="265">
        <f t="shared" si="59"/>
        <v>16017.96875</v>
      </c>
      <c r="EE16" s="265">
        <f t="shared" si="66"/>
        <v>1053.236301369863</v>
      </c>
      <c r="EF16" s="104">
        <f t="shared" si="60"/>
        <v>0.6</v>
      </c>
      <c r="EG16" s="264">
        <f t="shared" si="61"/>
        <v>141.14289052682355</v>
      </c>
      <c r="EI16" s="17">
        <f t="shared" si="62"/>
        <v>1048.831115988979</v>
      </c>
      <c r="EJ16" s="164">
        <f>EV$57</f>
        <v>271.80382254049317</v>
      </c>
      <c r="EK16" s="37">
        <f>EU$59</f>
        <v>8.2213305647651946E-2</v>
      </c>
      <c r="EO16" s="2">
        <v>40725</v>
      </c>
      <c r="EP16" s="260">
        <v>43101</v>
      </c>
      <c r="ER16" s="250">
        <v>0.55000000000000004</v>
      </c>
    </row>
    <row r="17" spans="1:163" ht="12.75" customHeight="1" x14ac:dyDescent="0.3">
      <c r="A17" s="54"/>
      <c r="B17" s="407"/>
      <c r="AE17" s="389"/>
      <c r="AF17" s="389"/>
      <c r="AZ17" s="412">
        <f t="shared" si="33"/>
        <v>40739</v>
      </c>
      <c r="BA17" s="59">
        <f t="shared" si="0"/>
        <v>2484.2185988026808</v>
      </c>
      <c r="BB17" s="304">
        <f t="shared" si="34"/>
        <v>1.9925818663586187E-2</v>
      </c>
      <c r="BC17" s="234">
        <f t="shared" si="1"/>
        <v>75</v>
      </c>
      <c r="BD17" s="123">
        <f t="shared" si="35"/>
        <v>6.7042114797766708</v>
      </c>
      <c r="BE17" s="4">
        <f t="shared" si="2"/>
        <v>8.7238018341693424E-2</v>
      </c>
      <c r="BF17" s="3">
        <f t="shared" si="3"/>
        <v>0.42836832187730856</v>
      </c>
      <c r="BG17" s="449">
        <v>25</v>
      </c>
      <c r="BH17" s="457" t="s">
        <v>315</v>
      </c>
      <c r="BI17" s="457"/>
      <c r="BJ17" s="457"/>
      <c r="BK17" s="457"/>
      <c r="BL17" s="457"/>
      <c r="BN17" s="447"/>
      <c r="BO17" s="272">
        <f t="shared" si="36"/>
        <v>40739</v>
      </c>
      <c r="BP17" s="381">
        <f>IF($AZ$31="d",Colony!H44,IF($AZ$31="n",Colony!H72,IF($AZ$31="p",Colony!H100,IF($AZ$31="a",Colony!H128,IF($AZ$31="b",Colony!H156,IF($AZ$31="c",Colony!H184,IF($AZ$31="r",Colony!H212,IF($AZ$31="s",Colony!H240,IF($AZ$31="f",Colony!H268,"error")))))))))</f>
        <v>25</v>
      </c>
      <c r="BQ17">
        <f t="shared" si="4"/>
        <v>50000</v>
      </c>
      <c r="BR17" s="81">
        <f>IF($AZ$31="d",Colony!F44,IF($AZ$31="n",Colony!F72,IF($AZ$31="p",Colony!F100,IF($AZ$31="a",Colony!F128,IF($AZ$31="b",Colony!F156,IF($AZ$31="c",Colony!F184,IF($AZ$31="r",Colony!F212,IF($AZ$31="s",Colony!F240,IF($AZ$31="f",Colony!F268,"error")))))))))</f>
        <v>5</v>
      </c>
      <c r="BS17" s="17">
        <f t="shared" si="5"/>
        <v>22500</v>
      </c>
      <c r="BT17" s="21">
        <f t="shared" si="6"/>
        <v>0.45</v>
      </c>
      <c r="BU17">
        <f t="shared" si="37"/>
        <v>13500</v>
      </c>
      <c r="BV17" s="18">
        <f t="shared" si="38"/>
        <v>1177.7132476128613</v>
      </c>
      <c r="BW17" s="128">
        <f t="shared" si="7"/>
        <v>1125</v>
      </c>
      <c r="BX17" s="141">
        <f t="shared" si="39"/>
        <v>8.9925384810888573</v>
      </c>
      <c r="BY17" s="27">
        <f t="shared" si="8"/>
        <v>20.992538481088857</v>
      </c>
      <c r="BZ17" s="32">
        <f t="shared" si="9"/>
        <v>0.42836832187730856</v>
      </c>
      <c r="CA17" s="130">
        <f t="shared" si="10"/>
        <v>0.57163167812269144</v>
      </c>
      <c r="CB17" s="28">
        <f t="shared" si="11"/>
        <v>1420.0580464571776</v>
      </c>
      <c r="CC17" s="256">
        <f t="shared" si="12"/>
        <v>13500</v>
      </c>
      <c r="CD17" s="80">
        <f>IF($AZ$31="d",Colony!J44,IF($AZ$31="n",Colony!J72,IF($AZ$31="p",Colony!J100,IF($AZ$31="a",Colony!J128,IF($AZ$31="b",Colony!J156,IF($AZ$31="c",Colony!J184,IF($AZ$31="r",Colony!J212,IF($AZ$31="s",Colony!J212,IF($AZ$31="f",Colony!J268,"error")))))))))</f>
        <v>0.05</v>
      </c>
      <c r="CE17" s="106">
        <f t="shared" si="40"/>
        <v>3.2000000000000001E-2</v>
      </c>
      <c r="CF17" s="75">
        <f t="shared" si="41"/>
        <v>0.16</v>
      </c>
      <c r="CG17" s="102">
        <f t="shared" si="42"/>
        <v>9.1461068499630635E-2</v>
      </c>
      <c r="CH17" s="72">
        <f t="shared" si="13"/>
        <v>227.20928743314843</v>
      </c>
      <c r="CI17" s="73">
        <f t="shared" si="43"/>
        <v>0.52594742461376953</v>
      </c>
      <c r="CJ17" s="361">
        <f t="shared" si="44"/>
        <v>0.40900482433560814</v>
      </c>
      <c r="CK17" s="362">
        <f t="shared" si="45"/>
        <v>1.2859198555130107</v>
      </c>
      <c r="CL17" s="73">
        <f t="shared" si="14"/>
        <v>23.992538481088857</v>
      </c>
      <c r="CM17" s="360">
        <v>1</v>
      </c>
      <c r="CN17" s="84">
        <f t="shared" si="15"/>
        <v>4.2749999999999995</v>
      </c>
      <c r="CO17" s="78">
        <f t="shared" si="46"/>
        <v>9.8493837450082944E-2</v>
      </c>
      <c r="CP17" s="103">
        <f t="shared" si="47"/>
        <v>0.4801706096230608</v>
      </c>
      <c r="CQ17" s="71">
        <f t="shared" si="48"/>
        <v>13068</v>
      </c>
      <c r="CR17" s="71">
        <f t="shared" si="16"/>
        <v>1192.8487590240293</v>
      </c>
      <c r="CS17" s="74">
        <f t="shared" si="17"/>
        <v>9.1280131544538512E-2</v>
      </c>
      <c r="CT17" s="358">
        <f t="shared" si="49"/>
        <v>8.7238018341693424E-2</v>
      </c>
      <c r="CU17" s="360">
        <f t="shared" si="50"/>
        <v>1.0463223140248674</v>
      </c>
      <c r="CV17" s="76">
        <f t="shared" si="18"/>
        <v>0.84</v>
      </c>
      <c r="CW17" s="74">
        <f t="shared" si="19"/>
        <v>20.992538481088857</v>
      </c>
      <c r="CX17" s="359">
        <v>1</v>
      </c>
      <c r="CY17" s="83">
        <f t="shared" si="51"/>
        <v>2.2586249999999999</v>
      </c>
      <c r="CZ17" s="79">
        <f t="shared" si="20"/>
        <v>6.518049768398862E-2</v>
      </c>
      <c r="DA17" s="112">
        <f t="shared" si="21"/>
        <v>4.0306110922268837E-2</v>
      </c>
      <c r="DB17" s="55">
        <f t="shared" si="22"/>
        <v>-6.0180723255630212E-3</v>
      </c>
      <c r="DC17" s="133">
        <f t="shared" si="23"/>
        <v>3.4288038596705817E-2</v>
      </c>
      <c r="DD17" s="133"/>
      <c r="DE17" s="383">
        <f t="shared" si="68"/>
        <v>2484.2185988026808</v>
      </c>
      <c r="DF17" s="241">
        <f t="shared" si="24"/>
        <v>1738.9530191618765</v>
      </c>
      <c r="DG17" s="241">
        <f t="shared" si="69"/>
        <v>1595.987943090614</v>
      </c>
      <c r="DH17" s="148">
        <f t="shared" ref="DH17:DH26" si="70">DG17*EXP(DA17*$BP$36)-DG17</f>
        <v>1350.110445467109</v>
      </c>
      <c r="DI17" s="17">
        <f t="shared" si="53"/>
        <v>3834.3290442697898</v>
      </c>
      <c r="DJ17" s="267">
        <f t="shared" si="54"/>
        <v>335.35563547012634</v>
      </c>
      <c r="DK17" s="135">
        <f t="shared" si="25"/>
        <v>3498.9734087996635</v>
      </c>
      <c r="DL17" s="245">
        <f>Colony!AD17</f>
        <v>75</v>
      </c>
      <c r="DM17" s="137">
        <f t="shared" si="55"/>
        <v>-210.42444721941897</v>
      </c>
      <c r="DN17" s="98">
        <f t="shared" si="63"/>
        <v>-135.42444721941897</v>
      </c>
      <c r="DO17" s="266">
        <f t="shared" si="26"/>
        <v>3363.5489615802444</v>
      </c>
      <c r="DP17" s="399">
        <f>EW$32</f>
        <v>0</v>
      </c>
      <c r="DQ17" s="135">
        <f t="shared" si="56"/>
        <v>0</v>
      </c>
      <c r="DR17" s="95">
        <f t="shared" si="27"/>
        <v>3363.5489615802444</v>
      </c>
      <c r="DS17" s="29">
        <f t="shared" si="28"/>
        <v>1.9925818663586187E-2</v>
      </c>
      <c r="DT17" s="272">
        <f t="shared" si="29"/>
        <v>40739</v>
      </c>
      <c r="DU17" s="89">
        <f t="shared" si="30"/>
        <v>1064.1605523455032</v>
      </c>
      <c r="DV17" s="29">
        <f t="shared" si="31"/>
        <v>2.1283211046910066E-2</v>
      </c>
      <c r="DW17" s="145">
        <f t="shared" si="32"/>
        <v>6.7042114797766708</v>
      </c>
      <c r="DX17" t="str">
        <f t="shared" si="64"/>
        <v/>
      </c>
      <c r="DY17" t="str">
        <f t="shared" si="65"/>
        <v/>
      </c>
      <c r="EA17">
        <f t="shared" si="67"/>
        <v>0</v>
      </c>
      <c r="EB17" s="17">
        <f t="shared" si="57"/>
        <v>18478.125</v>
      </c>
      <c r="EC17" s="18">
        <f t="shared" si="58"/>
        <v>2000</v>
      </c>
      <c r="ED17" s="265">
        <f t="shared" si="59"/>
        <v>16478.125</v>
      </c>
      <c r="EE17" s="265">
        <f t="shared" si="66"/>
        <v>1083.4931506849314</v>
      </c>
      <c r="EF17" s="104">
        <f t="shared" si="60"/>
        <v>0.6</v>
      </c>
      <c r="EG17" s="264">
        <f t="shared" si="61"/>
        <v>210.42444721941897</v>
      </c>
      <c r="EI17" s="17">
        <f t="shared" si="62"/>
        <v>1350.110445467109</v>
      </c>
      <c r="EJ17" s="164">
        <f>EW$57</f>
        <v>424.64562812137558</v>
      </c>
      <c r="EK17" s="37">
        <f>EV$59</f>
        <v>9.0599428068029647E-2</v>
      </c>
      <c r="EO17" s="2">
        <v>40739</v>
      </c>
      <c r="EP17" s="260">
        <v>43115</v>
      </c>
      <c r="ER17" s="250">
        <v>0.56000000000000005</v>
      </c>
      <c r="ES17">
        <v>11.654999999999999</v>
      </c>
    </row>
    <row r="18" spans="1:163" ht="12.75" customHeight="1" x14ac:dyDescent="0.3">
      <c r="A18" s="54"/>
      <c r="B18" s="407"/>
      <c r="AE18" s="389"/>
      <c r="AF18" s="389"/>
      <c r="AZ18" s="412">
        <f t="shared" si="33"/>
        <v>40756</v>
      </c>
      <c r="BA18" s="59">
        <f t="shared" si="0"/>
        <v>3363.5489615802444</v>
      </c>
      <c r="BB18" s="304">
        <f t="shared" si="34"/>
        <v>2.0493104251040176E-2</v>
      </c>
      <c r="BC18" s="234">
        <f t="shared" si="1"/>
        <v>200</v>
      </c>
      <c r="BD18" s="123">
        <f t="shared" si="35"/>
        <v>9.3738116225378718</v>
      </c>
      <c r="BE18" s="4">
        <f t="shared" si="2"/>
        <v>0.12537563719243838</v>
      </c>
      <c r="BF18" s="3">
        <f t="shared" si="3"/>
        <v>0.44236210732993247</v>
      </c>
      <c r="BG18" s="450"/>
      <c r="BH18" s="457"/>
      <c r="BI18" s="457"/>
      <c r="BJ18" s="457"/>
      <c r="BK18" s="457"/>
      <c r="BL18" s="457"/>
      <c r="BN18" s="447"/>
      <c r="BO18" s="272">
        <f t="shared" si="36"/>
        <v>40756</v>
      </c>
      <c r="BP18" s="381">
        <f>IF($AZ$31="d",Colony!H45,IF($AZ$31="n",Colony!H73,IF($AZ$31="p",Colony!H101,IF($AZ$31="a",Colony!H129,IF($AZ$31="b",Colony!H157,IF($AZ$31="c",Colony!H185,IF($AZ$31="r",Colony!H213,IF($AZ$31="s",Colony!H241,IF($AZ$31="f",Colony!H269,"error")))))))))</f>
        <v>25</v>
      </c>
      <c r="BQ18">
        <f t="shared" si="4"/>
        <v>50000</v>
      </c>
      <c r="BR18" s="81">
        <f>IF($AZ$31="d",Colony!F45,IF($AZ$31="n",Colony!F73,IF($AZ$31="p",Colony!F101,IF($AZ$31="a",Colony!F129,IF($AZ$31="b",Colony!F157,IF($AZ$31="c",Colony!F185,IF($AZ$31="r",Colony!F213,IF($AZ$31="s",Colony!F241,IF($AZ$31="f",Colony!F269,"error")))))))))</f>
        <v>4.5</v>
      </c>
      <c r="BS18" s="17">
        <f t="shared" si="5"/>
        <v>20250</v>
      </c>
      <c r="BT18" s="21">
        <f t="shared" si="6"/>
        <v>0.40500000000000003</v>
      </c>
      <c r="BU18">
        <f t="shared" si="37"/>
        <v>12150</v>
      </c>
      <c r="BV18" s="18">
        <f t="shared" si="38"/>
        <v>1523.3139918881263</v>
      </c>
      <c r="BW18" s="18">
        <f t="shared" si="7"/>
        <v>1012.5</v>
      </c>
      <c r="BX18" s="141">
        <f t="shared" si="39"/>
        <v>9.5193410593779895</v>
      </c>
      <c r="BY18" s="27">
        <f t="shared" si="8"/>
        <v>21.519341059377989</v>
      </c>
      <c r="BZ18" s="32">
        <f t="shared" si="9"/>
        <v>0.44236210732993247</v>
      </c>
      <c r="CA18" s="130">
        <f t="shared" si="10"/>
        <v>0.55763789267006758</v>
      </c>
      <c r="CB18" s="28">
        <f t="shared" si="11"/>
        <v>1875.6423548282016</v>
      </c>
      <c r="CC18" s="256">
        <f t="shared" si="12"/>
        <v>12150</v>
      </c>
      <c r="CD18" s="80">
        <f>IF($AZ$31="d",Colony!J45,IF($AZ$31="n",Colony!J73,IF($AZ$31="p",Colony!J101,IF($AZ$31="a",Colony!J129,IF($AZ$31="b",Colony!J157,IF($AZ$31="c",Colony!J185,IF($AZ$31="r",Colony!J213,IF($AZ$31="s",Colony!J213,IF($AZ$31="f",Colony!J269,"error")))))))))</f>
        <v>0.05</v>
      </c>
      <c r="CE18" s="106">
        <f t="shared" si="40"/>
        <v>3.2000000000000001E-2</v>
      </c>
      <c r="CF18" s="75">
        <f t="shared" si="41"/>
        <v>0.16</v>
      </c>
      <c r="CG18" s="102">
        <f t="shared" si="42"/>
        <v>8.9222062827210818E-2</v>
      </c>
      <c r="CH18" s="72">
        <f t="shared" si="13"/>
        <v>300.10277677251224</v>
      </c>
      <c r="CI18" s="73">
        <f t="shared" si="43"/>
        <v>0.77186928182230508</v>
      </c>
      <c r="CJ18" s="361">
        <f t="shared" si="44"/>
        <v>0.53785162517116625</v>
      </c>
      <c r="CK18" s="362">
        <f t="shared" si="45"/>
        <v>1.4350970522338107</v>
      </c>
      <c r="CL18" s="73">
        <f t="shared" si="14"/>
        <v>24.519341059377989</v>
      </c>
      <c r="CM18" s="360">
        <v>1</v>
      </c>
      <c r="CN18" s="84">
        <f t="shared" si="15"/>
        <v>4.2749999999999995</v>
      </c>
      <c r="CO18" s="78">
        <f t="shared" si="46"/>
        <v>9.8493837450082944E-2</v>
      </c>
      <c r="CP18" s="103">
        <f t="shared" si="47"/>
        <v>0.46841582984285679</v>
      </c>
      <c r="CQ18" s="71">
        <f t="shared" si="48"/>
        <v>11761.199999999999</v>
      </c>
      <c r="CR18" s="71">
        <f t="shared" si="16"/>
        <v>1575.5395780556894</v>
      </c>
      <c r="CS18" s="74">
        <f t="shared" si="17"/>
        <v>0.13396078444849926</v>
      </c>
      <c r="CT18" s="358">
        <f t="shared" si="49"/>
        <v>0.12537563719243838</v>
      </c>
      <c r="CU18" s="360">
        <f t="shared" si="50"/>
        <v>1.0684668806588362</v>
      </c>
      <c r="CV18" s="76">
        <f t="shared" si="18"/>
        <v>0.84</v>
      </c>
      <c r="CW18" s="74">
        <f t="shared" si="19"/>
        <v>21.519341059377989</v>
      </c>
      <c r="CX18" s="359">
        <v>1</v>
      </c>
      <c r="CY18" s="83">
        <f t="shared" si="51"/>
        <v>2.2586249999999999</v>
      </c>
      <c r="CZ18" s="79">
        <f t="shared" si="20"/>
        <v>6.518049768398862E-2</v>
      </c>
      <c r="DA18" s="112">
        <f t="shared" si="21"/>
        <v>3.931940026528033E-2</v>
      </c>
      <c r="DB18" s="55">
        <f t="shared" si="22"/>
        <v>-6.0180723255630212E-3</v>
      </c>
      <c r="DC18" s="133">
        <f t="shared" si="23"/>
        <v>3.330132793971731E-2</v>
      </c>
      <c r="DD18" s="133"/>
      <c r="DE18" s="383">
        <f t="shared" si="68"/>
        <v>3363.5489615802444</v>
      </c>
      <c r="DF18" s="241">
        <f t="shared" si="24"/>
        <v>2354.4842731061708</v>
      </c>
      <c r="DG18" s="241">
        <f t="shared" si="69"/>
        <v>2141.169344567581</v>
      </c>
      <c r="DH18" s="148">
        <f t="shared" si="70"/>
        <v>1752.432480201202</v>
      </c>
      <c r="DI18" s="17">
        <f t="shared" si="53"/>
        <v>5115.9814417814468</v>
      </c>
      <c r="DJ18" s="267">
        <f t="shared" si="54"/>
        <v>447.45069806306219</v>
      </c>
      <c r="DK18" s="135">
        <f t="shared" si="25"/>
        <v>4668.5307437183847</v>
      </c>
      <c r="DL18" s="245">
        <f>Colony!AD18</f>
        <v>200</v>
      </c>
      <c r="DM18" s="137">
        <f t="shared" si="55"/>
        <v>-274.93724267890093</v>
      </c>
      <c r="DN18" s="98">
        <f t="shared" si="63"/>
        <v>-74.93724267890093</v>
      </c>
      <c r="DO18" s="266">
        <f t="shared" si="26"/>
        <v>4593.5935010394842</v>
      </c>
      <c r="DP18" s="399">
        <f>EX$32</f>
        <v>0</v>
      </c>
      <c r="DQ18" s="135">
        <f t="shared" si="56"/>
        <v>0</v>
      </c>
      <c r="DR18" s="95">
        <f t="shared" si="27"/>
        <v>4593.5935010394842</v>
      </c>
      <c r="DS18" s="29">
        <f t="shared" si="28"/>
        <v>2.0493104251040176E-2</v>
      </c>
      <c r="DT18" s="272">
        <f t="shared" si="29"/>
        <v>40756</v>
      </c>
      <c r="DU18" s="89">
        <f t="shared" si="30"/>
        <v>1487.906606752043</v>
      </c>
      <c r="DV18" s="29">
        <f t="shared" si="31"/>
        <v>2.975813213504086E-2</v>
      </c>
      <c r="DW18" s="145">
        <f t="shared" si="32"/>
        <v>9.3738116225378718</v>
      </c>
      <c r="DX18" t="str">
        <f t="shared" si="64"/>
        <v/>
      </c>
      <c r="DY18" t="str">
        <f t="shared" si="65"/>
        <v/>
      </c>
      <c r="EA18">
        <f t="shared" si="67"/>
        <v>0</v>
      </c>
      <c r="EB18" s="17">
        <f t="shared" si="57"/>
        <v>15398.4375</v>
      </c>
      <c r="EC18" s="18">
        <f t="shared" si="58"/>
        <v>0</v>
      </c>
      <c r="ED18" s="265">
        <f t="shared" si="59"/>
        <v>15398.4375</v>
      </c>
      <c r="EE18" s="265">
        <f t="shared" si="66"/>
        <v>1012.5</v>
      </c>
      <c r="EF18" s="104">
        <f t="shared" si="60"/>
        <v>0.6</v>
      </c>
      <c r="EG18" s="264">
        <f t="shared" si="61"/>
        <v>274.93724267890093</v>
      </c>
      <c r="EI18" s="17">
        <f t="shared" si="62"/>
        <v>1752.432480201202</v>
      </c>
      <c r="EJ18" s="164">
        <f>EX$57</f>
        <v>643.01734403056776</v>
      </c>
      <c r="EK18" s="37">
        <f>EW$59</f>
        <v>0.10379446008591774</v>
      </c>
      <c r="EO18" s="2">
        <v>40756</v>
      </c>
      <c r="EP18" s="260">
        <v>43132</v>
      </c>
      <c r="ER18" s="250">
        <v>0.56000000000000005</v>
      </c>
    </row>
    <row r="19" spans="1:163" ht="12.75" customHeight="1" x14ac:dyDescent="0.3">
      <c r="A19" s="54"/>
      <c r="B19" s="407"/>
      <c r="AE19" s="389"/>
      <c r="AF19" s="389"/>
      <c r="AZ19" s="412">
        <f t="shared" si="33"/>
        <v>40770</v>
      </c>
      <c r="BA19" s="59">
        <f t="shared" si="0"/>
        <v>4593.5935010394842</v>
      </c>
      <c r="BB19" s="304">
        <f t="shared" si="34"/>
        <v>-0.13166131348411436</v>
      </c>
      <c r="BC19" s="234">
        <f t="shared" si="1"/>
        <v>400</v>
      </c>
      <c r="BD19" s="123">
        <f t="shared" si="35"/>
        <v>14.504575730995047</v>
      </c>
      <c r="BE19" s="4">
        <f t="shared" si="2"/>
        <v>0.18641147296550742</v>
      </c>
      <c r="BF19" s="3">
        <f t="shared" si="3"/>
        <v>0.44105687076243161</v>
      </c>
      <c r="BG19" s="449" t="s">
        <v>5</v>
      </c>
      <c r="BH19" s="457" t="s">
        <v>144</v>
      </c>
      <c r="BI19" s="457"/>
      <c r="BJ19" s="457"/>
      <c r="BK19" s="457"/>
      <c r="BL19" s="457"/>
      <c r="BN19" s="447"/>
      <c r="BO19" s="272">
        <f t="shared" si="36"/>
        <v>40770</v>
      </c>
      <c r="BP19" s="381">
        <f>IF($AZ$31="d",Colony!H46,IF($AZ$31="n",Colony!H74,IF($AZ$31="p",Colony!H102,IF($AZ$31="a",Colony!H130,IF($AZ$31="b",Colony!H158,IF($AZ$31="c",Colony!H186,IF($AZ$31="r",Colony!H214,IF($AZ$31="s",Colony!H242,IF($AZ$31="f",Colony!H270,"error")))))))))</f>
        <v>22</v>
      </c>
      <c r="BQ19">
        <f t="shared" si="4"/>
        <v>44000</v>
      </c>
      <c r="BR19" s="81">
        <f>IF($AZ$31="d",Colony!F46,IF($AZ$31="n",Colony!F74,IF($AZ$31="p",Colony!F102,IF($AZ$31="a",Colony!F130,IF($AZ$31="b",Colony!F158,IF($AZ$31="c",Colony!F186,IF($AZ$31="r",Colony!F214,IF($AZ$31="s",Colony!F242,IF($AZ$31="f",Colony!F270,"error")))))))))</f>
        <v>4</v>
      </c>
      <c r="BS19" s="17">
        <f t="shared" si="5"/>
        <v>18000</v>
      </c>
      <c r="BT19" s="21">
        <f t="shared" si="6"/>
        <v>0.40909090909090912</v>
      </c>
      <c r="BU19">
        <f t="shared" si="37"/>
        <v>10800</v>
      </c>
      <c r="BV19" s="18">
        <f t="shared" si="38"/>
        <v>2013.2439080274801</v>
      </c>
      <c r="BW19" s="18">
        <f t="shared" si="7"/>
        <v>900</v>
      </c>
      <c r="BX19" s="141">
        <f t="shared" si="39"/>
        <v>9.4690893801104821</v>
      </c>
      <c r="BY19" s="27">
        <f t="shared" si="8"/>
        <v>21.469089380110482</v>
      </c>
      <c r="BZ19" s="32">
        <f t="shared" si="9"/>
        <v>0.44105687076243161</v>
      </c>
      <c r="CA19" s="130">
        <f t="shared" si="10"/>
        <v>0.55894312923756839</v>
      </c>
      <c r="CB19" s="28">
        <f t="shared" si="11"/>
        <v>2567.5575259163666</v>
      </c>
      <c r="CC19" s="256">
        <f t="shared" si="12"/>
        <v>10800</v>
      </c>
      <c r="CD19" s="80">
        <f>IF($AZ$31="d",Colony!J46,IF($AZ$31="n",Colony!J74,IF($AZ$31="p",Colony!J102,IF($AZ$31="a",Colony!J130,IF($AZ$31="b",Colony!J158,IF($AZ$31="c",Colony!J186,IF($AZ$31="r",Colony!J214,IF($AZ$31="s",Colony!J214,IF($AZ$31="f",Colony!J270,"error")))))))))</f>
        <v>0.05</v>
      </c>
      <c r="CE19" s="106">
        <f t="shared" si="40"/>
        <v>3.2000000000000001E-2</v>
      </c>
      <c r="CF19" s="75">
        <f t="shared" si="41"/>
        <v>0.16</v>
      </c>
      <c r="CG19" s="102">
        <f t="shared" si="42"/>
        <v>8.9430900678010947E-2</v>
      </c>
      <c r="CH19" s="72">
        <f t="shared" si="13"/>
        <v>410.80920414661864</v>
      </c>
      <c r="CI19" s="73">
        <f t="shared" si="43"/>
        <v>1.1886840397760956</v>
      </c>
      <c r="CJ19" s="361">
        <f t="shared" si="44"/>
        <v>0.69537812931714471</v>
      </c>
      <c r="CK19" s="362">
        <f t="shared" si="45"/>
        <v>1.7094067093300347</v>
      </c>
      <c r="CL19" s="73">
        <f t="shared" si="14"/>
        <v>24.469089380110482</v>
      </c>
      <c r="CM19" s="360">
        <v>1</v>
      </c>
      <c r="CN19" s="84">
        <f t="shared" si="15"/>
        <v>4.2749999999999995</v>
      </c>
      <c r="CO19" s="78">
        <f t="shared" si="46"/>
        <v>9.8493837450082944E-2</v>
      </c>
      <c r="CP19" s="103">
        <f t="shared" si="47"/>
        <v>0.46951222855955743</v>
      </c>
      <c r="CQ19" s="71">
        <f t="shared" si="48"/>
        <v>10454.4</v>
      </c>
      <c r="CR19" s="71">
        <f t="shared" si="16"/>
        <v>2156.7483217697481</v>
      </c>
      <c r="CS19" s="74">
        <f t="shared" si="17"/>
        <v>0.2063005358289092</v>
      </c>
      <c r="CT19" s="358">
        <f t="shared" si="49"/>
        <v>0.18641147296550742</v>
      </c>
      <c r="CU19" s="360">
        <f t="shared" si="50"/>
        <v>1.106688477155076</v>
      </c>
      <c r="CV19" s="76">
        <f t="shared" si="18"/>
        <v>0.84</v>
      </c>
      <c r="CW19" s="74">
        <f t="shared" si="19"/>
        <v>21.469089380110482</v>
      </c>
      <c r="CX19" s="359">
        <v>1</v>
      </c>
      <c r="CY19" s="83">
        <f t="shared" si="51"/>
        <v>2.2586249999999999</v>
      </c>
      <c r="CZ19" s="79">
        <f t="shared" si="20"/>
        <v>6.518049768398862E-2</v>
      </c>
      <c r="DA19" s="112">
        <f t="shared" si="21"/>
        <v>3.9411433320625092E-2</v>
      </c>
      <c r="DB19" s="55">
        <f t="shared" si="22"/>
        <v>-6.0180723255630212E-3</v>
      </c>
      <c r="DC19" s="133">
        <f t="shared" si="23"/>
        <v>3.3393360995062071E-2</v>
      </c>
      <c r="DD19" s="133"/>
      <c r="DE19" s="383">
        <f t="shared" si="68"/>
        <v>4593.5935010394842</v>
      </c>
      <c r="DF19" s="241">
        <f t="shared" si="24"/>
        <v>3215.5154507276388</v>
      </c>
      <c r="DG19" s="241">
        <f t="shared" si="69"/>
        <v>2881.7627606214369</v>
      </c>
      <c r="DH19" s="148">
        <f t="shared" si="70"/>
        <v>2365.9084100667956</v>
      </c>
      <c r="DI19" s="17">
        <f t="shared" si="53"/>
        <v>6959.5019111062793</v>
      </c>
      <c r="DJ19" s="267">
        <f t="shared" si="54"/>
        <v>608.68750673406976</v>
      </c>
      <c r="DK19" s="135">
        <f t="shared" si="25"/>
        <v>6350.8144043722095</v>
      </c>
      <c r="DL19" s="245">
        <f>Colony!AD19</f>
        <v>400</v>
      </c>
      <c r="DM19" s="137">
        <f t="shared" si="55"/>
        <v>-548.64852753893319</v>
      </c>
      <c r="DN19" s="98">
        <f t="shared" si="63"/>
        <v>-148.64852753893319</v>
      </c>
      <c r="DO19" s="266">
        <f t="shared" si="26"/>
        <v>6202.1658768332763</v>
      </c>
      <c r="DP19" s="399">
        <f>EY$32</f>
        <v>0.9</v>
      </c>
      <c r="DQ19" s="135">
        <f t="shared" si="56"/>
        <v>5581.9492891499485</v>
      </c>
      <c r="DR19" s="95">
        <f t="shared" si="27"/>
        <v>620.21658768332782</v>
      </c>
      <c r="DS19" s="29">
        <f t="shared" si="28"/>
        <v>-0.13166131348411436</v>
      </c>
      <c r="DT19" s="272">
        <f t="shared" si="29"/>
        <v>40770</v>
      </c>
      <c r="DU19" s="89">
        <f t="shared" si="30"/>
        <v>2026.0359751231176</v>
      </c>
      <c r="DV19" s="29">
        <f t="shared" si="31"/>
        <v>4.6046272161889036E-2</v>
      </c>
      <c r="DW19" s="145">
        <f t="shared" si="32"/>
        <v>14.504575730995047</v>
      </c>
      <c r="DX19" t="str">
        <f t="shared" si="64"/>
        <v/>
      </c>
      <c r="DY19" t="str">
        <f t="shared" si="65"/>
        <v/>
      </c>
      <c r="EA19">
        <f t="shared" si="67"/>
        <v>0</v>
      </c>
      <c r="EB19" s="17">
        <f t="shared" si="57"/>
        <v>13858.59375</v>
      </c>
      <c r="EC19" s="18">
        <f t="shared" si="58"/>
        <v>-6000</v>
      </c>
      <c r="ED19" s="265">
        <f t="shared" si="59"/>
        <v>19858.59375</v>
      </c>
      <c r="EE19" s="265">
        <f t="shared" si="66"/>
        <v>1305.7705479452054</v>
      </c>
      <c r="EF19" s="104">
        <f t="shared" si="60"/>
        <v>0.6</v>
      </c>
      <c r="EG19" s="264">
        <f t="shared" si="61"/>
        <v>548.64852753893319</v>
      </c>
      <c r="EI19" s="17">
        <f t="shared" si="62"/>
        <v>2365.9084100667956</v>
      </c>
      <c r="EJ19" s="164">
        <f>EY$57</f>
        <v>945.91249938134365</v>
      </c>
      <c r="EK19" s="37">
        <f>EX$59</f>
        <v>0.11711432979979151</v>
      </c>
      <c r="EM19" s="37"/>
      <c r="EO19" s="2">
        <v>40770</v>
      </c>
      <c r="EP19" s="260">
        <v>43146</v>
      </c>
      <c r="ES19">
        <v>13.23</v>
      </c>
    </row>
    <row r="20" spans="1:163" ht="12.75" customHeight="1" x14ac:dyDescent="0.3">
      <c r="A20" s="54"/>
      <c r="B20" s="501" t="s">
        <v>359</v>
      </c>
      <c r="C20" s="502"/>
      <c r="D20" s="125"/>
      <c r="E20" s="125"/>
      <c r="F20" s="125"/>
      <c r="G20" s="125"/>
      <c r="H20" s="125"/>
      <c r="I20" s="125"/>
      <c r="J20" s="125"/>
      <c r="K20" s="125"/>
      <c r="L20" s="125"/>
      <c r="M20" s="125"/>
      <c r="N20" s="125"/>
      <c r="O20" s="125"/>
      <c r="P20" s="125"/>
      <c r="Q20" s="125"/>
      <c r="R20" s="125">
        <v>0.9</v>
      </c>
      <c r="S20" s="125"/>
      <c r="T20" s="125"/>
      <c r="U20" s="125"/>
      <c r="V20" s="125"/>
      <c r="W20" s="125"/>
      <c r="X20" s="125"/>
      <c r="Y20" s="125"/>
      <c r="Z20" s="173"/>
      <c r="AA20" s="411"/>
      <c r="AB20" s="500"/>
      <c r="AC20" s="500"/>
      <c r="AE20" s="389"/>
      <c r="AF20" s="389"/>
      <c r="AZ20" s="412">
        <f t="shared" si="33"/>
        <v>40787</v>
      </c>
      <c r="BA20" s="59">
        <f t="shared" si="0"/>
        <v>620.21658768332782</v>
      </c>
      <c r="BB20" s="304">
        <f t="shared" si="34"/>
        <v>4.65184438718515E-2</v>
      </c>
      <c r="BC20" s="234">
        <f t="shared" si="1"/>
        <v>500</v>
      </c>
      <c r="BD20" s="123">
        <f t="shared" si="35"/>
        <v>2.2588167269515695</v>
      </c>
      <c r="BE20" s="4">
        <f t="shared" si="2"/>
        <v>3.4286274735202182E-2</v>
      </c>
      <c r="BF20" s="3">
        <f t="shared" si="3"/>
        <v>0.43935003028936037</v>
      </c>
      <c r="BG20" s="450"/>
      <c r="BH20" s="457"/>
      <c r="BI20" s="457"/>
      <c r="BJ20" s="457"/>
      <c r="BK20" s="457"/>
      <c r="BL20" s="457"/>
      <c r="BN20" s="447"/>
      <c r="BO20" s="272">
        <f t="shared" si="36"/>
        <v>40787</v>
      </c>
      <c r="BP20" s="381">
        <f>IF($AZ$31="d",Colony!H47,IF($AZ$31="n",Colony!H75,IF($AZ$31="p",Colony!H103,IF($AZ$31="a",Colony!H131,IF($AZ$31="b",Colony!H159,IF($AZ$31="c",Colony!H187,IF($AZ$31="r",Colony!H215,IF($AZ$31="s",Colony!H243,IF($AZ$31="f",Colony!H271,"error")))))))))</f>
        <v>19</v>
      </c>
      <c r="BQ20">
        <f t="shared" si="4"/>
        <v>38000</v>
      </c>
      <c r="BR20" s="81">
        <f>IF($AZ$31="d",Colony!F47,IF($AZ$31="n",Colony!F75,IF($AZ$31="p",Colony!F103,IF($AZ$31="a",Colony!F131,IF($AZ$31="b",Colony!F159,IF($AZ$31="c",Colony!F187,IF($AZ$31="r",Colony!F215,IF($AZ$31="s",Colony!F243,IF($AZ$31="f",Colony!F271,"error")))))))))</f>
        <v>3.5</v>
      </c>
      <c r="BS20" s="17">
        <f t="shared" si="5"/>
        <v>15750</v>
      </c>
      <c r="BT20" s="21">
        <f t="shared" si="6"/>
        <v>0.41447368421052633</v>
      </c>
      <c r="BU20">
        <f t="shared" si="37"/>
        <v>9450</v>
      </c>
      <c r="BV20" s="18">
        <f t="shared" si="38"/>
        <v>324.00529624766062</v>
      </c>
      <c r="BW20" s="18">
        <f t="shared" si="7"/>
        <v>787.5</v>
      </c>
      <c r="BX20" s="141">
        <f t="shared" si="39"/>
        <v>9.4037289722737185</v>
      </c>
      <c r="BY20" s="27">
        <f t="shared" si="8"/>
        <v>21.403728972273719</v>
      </c>
      <c r="BZ20" s="32">
        <f t="shared" si="9"/>
        <v>0.43935003028936037</v>
      </c>
      <c r="CA20" s="130">
        <f t="shared" si="10"/>
        <v>0.56064996971063963</v>
      </c>
      <c r="CB20" s="28">
        <f t="shared" si="11"/>
        <v>347.72441109869402</v>
      </c>
      <c r="CC20" s="256">
        <f t="shared" si="12"/>
        <v>9450</v>
      </c>
      <c r="CD20" s="80">
        <f>IF($AZ$31="d",Colony!J47,IF($AZ$31="n",Colony!J75,IF($AZ$31="p",Colony!J103,IF($AZ$31="a",Colony!J131,IF($AZ$31="b",Colony!J159,IF($AZ$31="c",Colony!J187,IF($AZ$31="r",Colony!J215,IF($AZ$31="s",Colony!J215,IF($AZ$31="f",Colony!J271,"error")))))))))</f>
        <v>0.02</v>
      </c>
      <c r="CE20" s="106">
        <f t="shared" si="40"/>
        <v>1.2800000000000001E-2</v>
      </c>
      <c r="CF20" s="75">
        <f t="shared" si="41"/>
        <v>6.4000000000000001E-2</v>
      </c>
      <c r="CG20" s="102">
        <f t="shared" si="42"/>
        <v>3.5881598061480939E-2</v>
      </c>
      <c r="CH20" s="72">
        <f t="shared" si="13"/>
        <v>22.254362310316417</v>
      </c>
      <c r="CI20" s="73">
        <f t="shared" si="43"/>
        <v>0.18398116989348889</v>
      </c>
      <c r="CJ20" s="361">
        <f t="shared" si="44"/>
        <v>0.16804853058603997</v>
      </c>
      <c r="CK20" s="362">
        <f t="shared" si="45"/>
        <v>1.0948097508016679</v>
      </c>
      <c r="CL20" s="73">
        <f t="shared" si="14"/>
        <v>24.403728972273719</v>
      </c>
      <c r="CM20" s="360">
        <v>1</v>
      </c>
      <c r="CN20" s="84">
        <f t="shared" si="15"/>
        <v>4.2749999999999995</v>
      </c>
      <c r="CO20" s="78">
        <f t="shared" si="46"/>
        <v>9.8493837450082944E-2</v>
      </c>
      <c r="CP20" s="103">
        <f t="shared" si="47"/>
        <v>0.52476837164915868</v>
      </c>
      <c r="CQ20" s="71">
        <f t="shared" si="48"/>
        <v>9329.0399999999991</v>
      </c>
      <c r="CR20" s="71">
        <f t="shared" si="16"/>
        <v>325.4700487883776</v>
      </c>
      <c r="CS20" s="74">
        <f t="shared" si="17"/>
        <v>3.4887839347711835E-2</v>
      </c>
      <c r="CT20" s="358">
        <f t="shared" si="49"/>
        <v>3.4286274735202182E-2</v>
      </c>
      <c r="CU20" s="360">
        <f t="shared" si="50"/>
        <v>1.0175156706722177</v>
      </c>
      <c r="CV20" s="76">
        <f t="shared" si="18"/>
        <v>0.93599999999999994</v>
      </c>
      <c r="CW20" s="74">
        <f t="shared" si="19"/>
        <v>21.403728972273719</v>
      </c>
      <c r="CX20" s="359">
        <v>1</v>
      </c>
      <c r="CY20" s="83">
        <f t="shared" si="51"/>
        <v>2.2586249999999999</v>
      </c>
      <c r="CZ20" s="79">
        <f t="shared" si="20"/>
        <v>6.518049768398862E-2</v>
      </c>
      <c r="DA20" s="112">
        <f t="shared" si="21"/>
        <v>3.7738779919825181E-2</v>
      </c>
      <c r="DB20" s="55">
        <f t="shared" si="22"/>
        <v>-6.0180723255630212E-3</v>
      </c>
      <c r="DC20" s="133">
        <f t="shared" si="23"/>
        <v>3.1720707594262161E-2</v>
      </c>
      <c r="DD20" s="133"/>
      <c r="DE20" s="383">
        <f t="shared" si="68"/>
        <v>620.21658768332782</v>
      </c>
      <c r="DF20" s="241">
        <f t="shared" si="24"/>
        <v>434.15161137832945</v>
      </c>
      <c r="DG20" s="241">
        <f t="shared" si="69"/>
        <v>383.30623638025685</v>
      </c>
      <c r="DH20" s="148">
        <f t="shared" si="70"/>
        <v>297.15998784694631</v>
      </c>
      <c r="DI20" s="17">
        <f t="shared" si="53"/>
        <v>917.37657553027407</v>
      </c>
      <c r="DJ20" s="267">
        <f t="shared" si="54"/>
        <v>80.235003543091011</v>
      </c>
      <c r="DK20" s="135">
        <f t="shared" si="25"/>
        <v>837.14157198718306</v>
      </c>
      <c r="DL20" s="245">
        <f>Colony!AD20</f>
        <v>500</v>
      </c>
      <c r="DM20" s="137">
        <f t="shared" si="55"/>
        <v>-78.816569365417266</v>
      </c>
      <c r="DN20" s="98">
        <f t="shared" si="63"/>
        <v>421.18343063458275</v>
      </c>
      <c r="DO20" s="266">
        <f t="shared" si="26"/>
        <v>1258.3250026217659</v>
      </c>
      <c r="DP20" s="399">
        <f>EZ$32</f>
        <v>0</v>
      </c>
      <c r="DQ20" s="135">
        <f t="shared" si="56"/>
        <v>0</v>
      </c>
      <c r="DR20" s="95">
        <f t="shared" si="27"/>
        <v>1258.3250026217659</v>
      </c>
      <c r="DS20" s="29">
        <f t="shared" si="28"/>
        <v>4.65184438718515E-2</v>
      </c>
      <c r="DT20" s="272">
        <f t="shared" si="29"/>
        <v>40787</v>
      </c>
      <c r="DU20" s="89">
        <f t="shared" si="30"/>
        <v>272.4921765846338</v>
      </c>
      <c r="DV20" s="29">
        <f t="shared" si="31"/>
        <v>7.1708467522272048E-3</v>
      </c>
      <c r="DW20" s="145">
        <f t="shared" si="32"/>
        <v>2.2588167269515695</v>
      </c>
      <c r="DX20" t="str">
        <f t="shared" si="64"/>
        <v/>
      </c>
      <c r="DY20" t="str">
        <f t="shared" si="65"/>
        <v/>
      </c>
      <c r="EA20">
        <f t="shared" si="67"/>
        <v>0</v>
      </c>
      <c r="EB20" s="17">
        <f t="shared" si="57"/>
        <v>12318.75</v>
      </c>
      <c r="EC20" s="18">
        <f t="shared" si="58"/>
        <v>-6000</v>
      </c>
      <c r="ED20" s="265">
        <f t="shared" si="59"/>
        <v>18318.75</v>
      </c>
      <c r="EE20" s="265">
        <f t="shared" si="66"/>
        <v>1204.5205479452054</v>
      </c>
      <c r="EF20" s="104">
        <f t="shared" si="60"/>
        <v>0.6</v>
      </c>
      <c r="EG20" s="264">
        <f t="shared" si="61"/>
        <v>78.816569365417266</v>
      </c>
      <c r="EI20" s="17">
        <f t="shared" si="62"/>
        <v>297.15998784694631</v>
      </c>
      <c r="EJ20" s="164">
        <f>EZ$57</f>
        <v>135.98516468024133</v>
      </c>
      <c r="EK20" s="37">
        <f>EY$59</f>
        <v>0.12812908740382886</v>
      </c>
      <c r="EO20" s="2">
        <v>40787</v>
      </c>
      <c r="EP20" s="260">
        <v>43160</v>
      </c>
    </row>
    <row r="21" spans="1:163" ht="12.75" customHeight="1" x14ac:dyDescent="0.3">
      <c r="A21" s="54"/>
      <c r="B21" s="409" t="s">
        <v>349</v>
      </c>
      <c r="C21" s="414" t="s">
        <v>83</v>
      </c>
      <c r="D21" s="503" t="str">
        <f>IF($C$21="d",Colony!B30,IF($C$21="n",Colony!B58,IF($C$21="p",Colony!B86,IF($C$21="a",Colony!B114,IF($C$21="b",Colony!B142,IF($C$21="c",Colony!B170,IF($C$21="r",Colony!B198,IF($C$21="s",Colony!B226,IF($C$21="f",Colony!B254,"error")))))))))</f>
        <v>D: Default colony in temperate climate, managed to prevent swarming (slight fall brood buildup)</v>
      </c>
      <c r="E21" s="504"/>
      <c r="F21" s="504"/>
      <c r="G21" s="504"/>
      <c r="H21" s="504"/>
      <c r="I21" s="504"/>
      <c r="J21" s="504"/>
      <c r="K21" s="504"/>
      <c r="L21" s="504"/>
      <c r="M21" s="504"/>
      <c r="N21" s="504"/>
      <c r="O21" s="504"/>
      <c r="P21" s="504"/>
      <c r="Q21" s="504"/>
      <c r="R21" s="504"/>
      <c r="S21" s="504"/>
      <c r="T21" s="504"/>
      <c r="U21" s="504"/>
      <c r="V21" s="504"/>
      <c r="W21" s="504"/>
      <c r="X21" s="504"/>
      <c r="Y21" s="504"/>
      <c r="Z21" s="504"/>
      <c r="AA21" s="505"/>
      <c r="AB21" s="499" t="s">
        <v>358</v>
      </c>
      <c r="AC21" s="499"/>
      <c r="AZ21" s="412">
        <f t="shared" si="33"/>
        <v>40801</v>
      </c>
      <c r="BA21" s="59">
        <f t="shared" si="0"/>
        <v>1258.3250026217659</v>
      </c>
      <c r="BB21" s="304">
        <f t="shared" si="34"/>
        <v>3.0163728225703616E-2</v>
      </c>
      <c r="BC21" s="234">
        <f t="shared" si="1"/>
        <v>400</v>
      </c>
      <c r="BD21" s="123">
        <f t="shared" si="35"/>
        <v>4.9085977264090452</v>
      </c>
      <c r="BE21" s="4">
        <f t="shared" si="2"/>
        <v>6.451676538265505E-2</v>
      </c>
      <c r="BF21" s="3">
        <f t="shared" si="3"/>
        <v>0.39628172098980846</v>
      </c>
      <c r="BG21" s="458" t="s">
        <v>321</v>
      </c>
      <c r="BH21" s="457" t="s">
        <v>156</v>
      </c>
      <c r="BI21" s="457"/>
      <c r="BJ21" s="457"/>
      <c r="BK21" s="457"/>
      <c r="BL21" s="457"/>
      <c r="BN21" s="447"/>
      <c r="BO21" s="272">
        <f t="shared" si="36"/>
        <v>40801</v>
      </c>
      <c r="BP21" s="381">
        <f>IF($AZ$31="d",Colony!H48,IF($AZ$31="n",Colony!H76,IF($AZ$31="p",Colony!H104,IF($AZ$31="a",Colony!H132,IF($AZ$31="b",Colony!H160,IF($AZ$31="c",Colony!H188,IF($AZ$31="r",Colony!H216,IF($AZ$31="s",Colony!H244,IF($AZ$31="f",Colony!H272,"error")))))))))</f>
        <v>16</v>
      </c>
      <c r="BQ21">
        <f t="shared" si="4"/>
        <v>32000</v>
      </c>
      <c r="BR21" s="81">
        <f>IF($AZ$31="d",Colony!F48,IF($AZ$31="n",Colony!F76,IF($AZ$31="p",Colony!F104,IF($AZ$31="a",Colony!F132,IF($AZ$31="b",Colony!F160,IF($AZ$31="c",Colony!F188,IF($AZ$31="r",Colony!F216,IF($AZ$31="s",Colony!F244,IF($AZ$31="f",Colony!F272,"error")))))))))</f>
        <v>4</v>
      </c>
      <c r="BS21" s="17">
        <f t="shared" si="5"/>
        <v>18000</v>
      </c>
      <c r="BT21" s="21">
        <f t="shared" si="6"/>
        <v>0.5625</v>
      </c>
      <c r="BU21">
        <f t="shared" si="37"/>
        <v>10800</v>
      </c>
      <c r="BV21" s="18">
        <f t="shared" si="38"/>
        <v>696.7810661326746</v>
      </c>
      <c r="BW21" s="18">
        <f t="shared" si="7"/>
        <v>900</v>
      </c>
      <c r="BX21" s="141">
        <f t="shared" si="39"/>
        <v>7.8768207245178088</v>
      </c>
      <c r="BY21" s="27">
        <f t="shared" si="8"/>
        <v>19.87682072451781</v>
      </c>
      <c r="BZ21" s="32">
        <f t="shared" si="9"/>
        <v>0.39628172098980846</v>
      </c>
      <c r="CA21" s="130">
        <f t="shared" si="10"/>
        <v>0.60371827901019159</v>
      </c>
      <c r="CB21" s="28">
        <f t="shared" si="11"/>
        <v>759.67380501830735</v>
      </c>
      <c r="CC21" s="256">
        <f t="shared" si="12"/>
        <v>10800</v>
      </c>
      <c r="CD21" s="80">
        <f>IF($AZ$31="d",Colony!J48,IF($AZ$31="n",Colony!J76,IF($AZ$31="p",Colony!J104,IF($AZ$31="a",Colony!J132,IF($AZ$31="b",Colony!J160,IF($AZ$31="c",Colony!J188,IF($AZ$31="r",Colony!J216,IF($AZ$31="s",Colony!J216,IF($AZ$31="f",Colony!J272,"error")))))))))</f>
        <v>0.02</v>
      </c>
      <c r="CE21" s="106">
        <f t="shared" si="40"/>
        <v>1.2800000000000001E-2</v>
      </c>
      <c r="CF21" s="75">
        <f t="shared" si="41"/>
        <v>6.4000000000000001E-2</v>
      </c>
      <c r="CG21" s="102">
        <f t="shared" si="42"/>
        <v>3.8637969856652264E-2</v>
      </c>
      <c r="CH21" s="72">
        <f t="shared" si="13"/>
        <v>48.619123521171673</v>
      </c>
      <c r="CI21" s="73">
        <f t="shared" si="43"/>
        <v>0.35170083565662374</v>
      </c>
      <c r="CJ21" s="361">
        <f t="shared" si="44"/>
        <v>0.29650945021307895</v>
      </c>
      <c r="CK21" s="362">
        <f t="shared" si="45"/>
        <v>1.186137019929324</v>
      </c>
      <c r="CL21" s="73">
        <f t="shared" si="14"/>
        <v>22.87682072451781</v>
      </c>
      <c r="CM21" s="360">
        <v>1</v>
      </c>
      <c r="CN21" s="84">
        <f t="shared" si="15"/>
        <v>4.2749999999999995</v>
      </c>
      <c r="CO21" s="78">
        <f t="shared" si="46"/>
        <v>9.8493837450082944E-2</v>
      </c>
      <c r="CP21" s="103">
        <f t="shared" si="47"/>
        <v>0.56508030915353935</v>
      </c>
      <c r="CQ21" s="71">
        <f t="shared" si="48"/>
        <v>10661.76</v>
      </c>
      <c r="CR21" s="71">
        <f t="shared" si="16"/>
        <v>711.05468149713568</v>
      </c>
      <c r="CS21" s="74">
        <f t="shared" si="17"/>
        <v>6.6692054735534814E-2</v>
      </c>
      <c r="CT21" s="358">
        <f t="shared" si="49"/>
        <v>6.451676538265505E-2</v>
      </c>
      <c r="CU21" s="360">
        <f t="shared" si="50"/>
        <v>1.0337006302060223</v>
      </c>
      <c r="CV21" s="76">
        <f t="shared" si="18"/>
        <v>0.93599999999999994</v>
      </c>
      <c r="CW21" s="74">
        <f t="shared" si="19"/>
        <v>19.87682072451781</v>
      </c>
      <c r="CX21" s="359">
        <v>1</v>
      </c>
      <c r="CY21" s="83">
        <f t="shared" si="51"/>
        <v>2.2586249999999999</v>
      </c>
      <c r="CZ21" s="79">
        <f t="shared" si="20"/>
        <v>6.518049768398862E-2</v>
      </c>
      <c r="DA21" s="112">
        <f t="shared" si="21"/>
        <v>4.0637817704512157E-2</v>
      </c>
      <c r="DB21" s="55">
        <f t="shared" si="22"/>
        <v>-6.0180723255630212E-3</v>
      </c>
      <c r="DC21" s="133">
        <f t="shared" si="23"/>
        <v>3.4619745378949136E-2</v>
      </c>
      <c r="DD21" s="133"/>
      <c r="DE21" s="383">
        <f t="shared" si="68"/>
        <v>1258.3250026217659</v>
      </c>
      <c r="DF21" s="241">
        <f t="shared" si="24"/>
        <v>880.82750183523603</v>
      </c>
      <c r="DG21" s="241">
        <f t="shared" si="69"/>
        <v>767.96787786489278</v>
      </c>
      <c r="DH21" s="148">
        <f t="shared" si="70"/>
        <v>656.82450259608243</v>
      </c>
      <c r="DI21" s="17">
        <f t="shared" si="53"/>
        <v>1915.1495052178484</v>
      </c>
      <c r="DJ21" s="267">
        <f t="shared" si="54"/>
        <v>167.50158161372428</v>
      </c>
      <c r="DK21" s="135">
        <f t="shared" si="25"/>
        <v>1747.6479236041241</v>
      </c>
      <c r="DL21" s="245">
        <f>Colony!AD21</f>
        <v>400</v>
      </c>
      <c r="DM21" s="137">
        <f t="shared" si="55"/>
        <v>-156.87790680072482</v>
      </c>
      <c r="DN21" s="98">
        <f t="shared" si="63"/>
        <v>243.12209319927518</v>
      </c>
      <c r="DO21" s="266">
        <f t="shared" si="26"/>
        <v>1990.7700168033994</v>
      </c>
      <c r="DP21" s="399">
        <f>FA$32</f>
        <v>0</v>
      </c>
      <c r="DQ21" s="135">
        <f t="shared" si="56"/>
        <v>0</v>
      </c>
      <c r="DR21" s="95">
        <f t="shared" si="27"/>
        <v>1990.7700168033994</v>
      </c>
      <c r="DS21" s="29">
        <f t="shared" si="28"/>
        <v>3.0163728225703616E-2</v>
      </c>
      <c r="DT21" s="272">
        <f t="shared" si="29"/>
        <v>40801</v>
      </c>
      <c r="DU21" s="89">
        <f t="shared" si="30"/>
        <v>498.65119760345863</v>
      </c>
      <c r="DV21" s="29">
        <f t="shared" si="31"/>
        <v>1.5582849925108081E-2</v>
      </c>
      <c r="DW21" s="145">
        <f t="shared" si="32"/>
        <v>4.9085977264090452</v>
      </c>
      <c r="DX21" t="str">
        <f t="shared" si="64"/>
        <v/>
      </c>
      <c r="DY21" t="str">
        <f t="shared" si="65"/>
        <v/>
      </c>
      <c r="EA21">
        <f t="shared" si="67"/>
        <v>0</v>
      </c>
      <c r="EB21" s="17">
        <f t="shared" si="57"/>
        <v>10778.90625</v>
      </c>
      <c r="EC21" s="18">
        <f t="shared" si="58"/>
        <v>-6000</v>
      </c>
      <c r="ED21" s="265">
        <f t="shared" si="59"/>
        <v>16778.90625</v>
      </c>
      <c r="EE21" s="265">
        <f t="shared" si="66"/>
        <v>1103.2705479452054</v>
      </c>
      <c r="EF21" s="104">
        <f t="shared" si="60"/>
        <v>0.6</v>
      </c>
      <c r="EG21" s="264">
        <f t="shared" si="61"/>
        <v>156.87790680072482</v>
      </c>
      <c r="EI21" s="17">
        <f t="shared" si="62"/>
        <v>656.82450259608243</v>
      </c>
      <c r="EJ21" s="164">
        <f>FA$57</f>
        <v>191.03323662923785</v>
      </c>
      <c r="EK21" s="37">
        <f>EZ$59</f>
        <v>0.13994757621484127</v>
      </c>
      <c r="EO21" s="2">
        <v>40801</v>
      </c>
      <c r="EP21" s="260">
        <v>43174</v>
      </c>
      <c r="ES21">
        <v>19.53</v>
      </c>
    </row>
    <row r="22" spans="1:163" ht="12.65" customHeight="1" x14ac:dyDescent="0.3">
      <c r="B22" s="402" t="s">
        <v>348</v>
      </c>
      <c r="C22" s="408">
        <v>50</v>
      </c>
      <c r="D22" s="421">
        <f>BA5</f>
        <v>46.330041655314922</v>
      </c>
      <c r="E22" s="421">
        <f>IF('Current version'!$BA6=0,"",'Current version'!$BA5)</f>
        <v>46.330041655314922</v>
      </c>
      <c r="F22" s="421">
        <f>IF('Current version'!$BA7=0,"",'Current version'!$BA5)</f>
        <v>46.330041655314922</v>
      </c>
      <c r="G22" s="421">
        <f>IF('Current version'!$BA8=0,"",'Current version'!$BA5)</f>
        <v>46.330041655314922</v>
      </c>
      <c r="H22" s="421">
        <f>IF('Current version'!$BA9=0,"",'Current version'!$BA5)</f>
        <v>46.330041655314922</v>
      </c>
      <c r="I22" s="421">
        <f>BA10</f>
        <v>145.40828255122503</v>
      </c>
      <c r="J22" s="421">
        <f>'Current version'!BA11</f>
        <v>226.46181367933914</v>
      </c>
      <c r="K22" s="421">
        <f>'Current version'!BA12</f>
        <v>356.69632010855145</v>
      </c>
      <c r="L22" s="421">
        <f>'Current version'!BA13</f>
        <v>555.40229680478683</v>
      </c>
      <c r="M22" s="421">
        <f>'Current version'!BA14</f>
        <v>837.45984470327062</v>
      </c>
      <c r="N22" s="421">
        <f>'Current version'!BA15</f>
        <v>1245.2249143903894</v>
      </c>
      <c r="O22" s="421">
        <f>'Current version'!BA16</f>
        <v>1778.8425606296521</v>
      </c>
      <c r="P22" s="421">
        <f>'Current version'!BA17</f>
        <v>2484.2185988026808</v>
      </c>
      <c r="Q22" s="421">
        <f>'Current version'!BA18</f>
        <v>3363.5489615802444</v>
      </c>
      <c r="R22" s="421">
        <f>'Current version'!BA19</f>
        <v>4593.5935010394842</v>
      </c>
      <c r="S22" s="421">
        <f>'Current version'!BA20</f>
        <v>620.21658768332782</v>
      </c>
      <c r="T22" s="421">
        <f>'Current version'!BA21</f>
        <v>1258.3250026217659</v>
      </c>
      <c r="U22" s="421">
        <f>'Current version'!BA22</f>
        <v>1990.7700168033994</v>
      </c>
      <c r="V22" s="421">
        <f>'Current version'!BA23</f>
        <v>2483.6918546565685</v>
      </c>
      <c r="W22" s="421" t="str">
        <f>'Current version'!BA24</f>
        <v/>
      </c>
      <c r="X22" s="421" t="str">
        <f>'Current version'!BA25</f>
        <v/>
      </c>
      <c r="Y22" s="421" t="str">
        <f>'Current version'!BA26</f>
        <v/>
      </c>
      <c r="Z22" s="421" t="str">
        <f>'Current version'!BA27</f>
        <v/>
      </c>
      <c r="AA22" s="422" t="str">
        <f>'Current version'!BA28</f>
        <v/>
      </c>
      <c r="AB22" s="499"/>
      <c r="AC22" s="499"/>
      <c r="AE22" s="292"/>
      <c r="AF22" s="292"/>
      <c r="AZ22" s="412">
        <f t="shared" si="33"/>
        <v>40817</v>
      </c>
      <c r="BA22" s="59">
        <f t="shared" si="0"/>
        <v>1990.7700168033994</v>
      </c>
      <c r="BB22" s="304">
        <f t="shared" si="34"/>
        <v>1.4546274890630657E-2</v>
      </c>
      <c r="BC22" s="234">
        <f t="shared" si="1"/>
        <v>200</v>
      </c>
      <c r="BD22" s="123">
        <f t="shared" si="35"/>
        <v>10.006538529525031</v>
      </c>
      <c r="BE22" s="4">
        <f t="shared" si="2"/>
        <v>0.17484080960613824</v>
      </c>
      <c r="BF22" s="3">
        <f t="shared" si="3"/>
        <v>0.47871108236240284</v>
      </c>
      <c r="BG22" s="458"/>
      <c r="BH22" s="457"/>
      <c r="BI22" s="457"/>
      <c r="BJ22" s="457"/>
      <c r="BK22" s="457"/>
      <c r="BL22" s="457"/>
      <c r="BN22" s="447"/>
      <c r="BO22" s="272">
        <f t="shared" si="36"/>
        <v>40817</v>
      </c>
      <c r="BP22" s="381">
        <f>IF($AZ$31="d",Colony!H49,IF($AZ$31="n",Colony!H77,IF($AZ$31="p",Colony!H105,IF($AZ$31="a",Colony!H133,IF($AZ$31="b",Colony!H161,IF($AZ$31="c",Colony!H189,IF($AZ$31="r",Colony!H217,IF($AZ$31="s",Colony!H245,IF($AZ$31="f",Colony!H273,"error")))))))))</f>
        <v>15</v>
      </c>
      <c r="BQ22">
        <f t="shared" si="4"/>
        <v>30000</v>
      </c>
      <c r="BR22" s="81">
        <f>IF($AZ$31="d",Colony!F49,IF($AZ$31="n",Colony!F77,IF($AZ$31="p",Colony!F105,IF($AZ$31="a",Colony!F133,IF($AZ$31="b",Colony!F161,IF($AZ$31="c",Colony!F189,IF($AZ$31="r",Colony!F217,IF($AZ$31="s",Colony!F245,IF($AZ$31="f",Colony!F273,"error")))))))))</f>
        <v>2</v>
      </c>
      <c r="BS22" s="17">
        <f t="shared" si="5"/>
        <v>9000</v>
      </c>
      <c r="BT22" s="21">
        <f t="shared" si="6"/>
        <v>0.3</v>
      </c>
      <c r="BU22">
        <f t="shared" si="37"/>
        <v>5400</v>
      </c>
      <c r="BV22" s="18">
        <f t="shared" si="38"/>
        <v>944.14037187314648</v>
      </c>
      <c r="BW22" s="18">
        <f t="shared" si="7"/>
        <v>450</v>
      </c>
      <c r="BX22" s="141">
        <f t="shared" si="39"/>
        <v>11.019864021629679</v>
      </c>
      <c r="BY22" s="27">
        <f t="shared" si="8"/>
        <v>23.019864021629679</v>
      </c>
      <c r="BZ22" s="32">
        <f t="shared" si="9"/>
        <v>0.47871108236240284</v>
      </c>
      <c r="CA22" s="130">
        <f t="shared" si="10"/>
        <v>0.52128891763759722</v>
      </c>
      <c r="CB22" s="28">
        <f t="shared" si="11"/>
        <v>1037.7663473248253</v>
      </c>
      <c r="CC22" s="256">
        <f t="shared" si="12"/>
        <v>5400</v>
      </c>
      <c r="CD22" s="80">
        <f>IF($AZ$31="d",Colony!J49,IF($AZ$31="n",Colony!J77,IF($AZ$31="p",Colony!J105,IF($AZ$31="a",Colony!J133,IF($AZ$31="b",Colony!J161,IF($AZ$31="c",Colony!J189,IF($AZ$31="r",Colony!J217,IF($AZ$31="s",Colony!J217,IF($AZ$31="f",Colony!J273,"error")))))))))</f>
        <v>0</v>
      </c>
      <c r="CE22" s="106">
        <f t="shared" si="40"/>
        <v>0</v>
      </c>
      <c r="CF22" s="75">
        <f t="shared" si="41"/>
        <v>0</v>
      </c>
      <c r="CG22" s="102">
        <f t="shared" si="42"/>
        <v>0</v>
      </c>
      <c r="CH22" s="72">
        <f t="shared" si="13"/>
        <v>0</v>
      </c>
      <c r="CI22" s="73">
        <f t="shared" si="43"/>
        <v>0</v>
      </c>
      <c r="CJ22" s="361">
        <f t="shared" si="44"/>
        <v>0</v>
      </c>
      <c r="CK22" s="362">
        <f t="shared" si="45"/>
        <v>0</v>
      </c>
      <c r="CL22" s="73">
        <f t="shared" si="14"/>
        <v>26.019864021629679</v>
      </c>
      <c r="CM22" s="360">
        <v>1</v>
      </c>
      <c r="CN22" s="84">
        <f t="shared" si="15"/>
        <v>4.2749999999999995</v>
      </c>
      <c r="CO22" s="78">
        <f t="shared" si="46"/>
        <v>9.8493837450082944E-2</v>
      </c>
      <c r="CP22" s="103">
        <f t="shared" si="47"/>
        <v>0.52128891763759722</v>
      </c>
      <c r="CQ22" s="71">
        <f t="shared" si="48"/>
        <v>5400</v>
      </c>
      <c r="CR22" s="71">
        <f t="shared" si="16"/>
        <v>1037.7663473248253</v>
      </c>
      <c r="CS22" s="74">
        <f t="shared" si="17"/>
        <v>0.192178953208301</v>
      </c>
      <c r="CT22" s="358">
        <f t="shared" si="49"/>
        <v>0.17484080960613824</v>
      </c>
      <c r="CU22" s="360">
        <f t="shared" si="50"/>
        <v>1.0991590263291011</v>
      </c>
      <c r="CV22" s="76">
        <f t="shared" si="18"/>
        <v>1</v>
      </c>
      <c r="CW22" s="74">
        <f t="shared" si="19"/>
        <v>23.019864021629679</v>
      </c>
      <c r="CX22" s="359">
        <v>1</v>
      </c>
      <c r="CY22" s="83">
        <f t="shared" si="51"/>
        <v>2.2586249999999999</v>
      </c>
      <c r="CZ22" s="79">
        <f t="shared" si="20"/>
        <v>6.518049768398862E-2</v>
      </c>
      <c r="DA22" s="112">
        <f t="shared" si="21"/>
        <v>3.3977871088766341E-2</v>
      </c>
      <c r="DB22" s="55">
        <f t="shared" si="22"/>
        <v>-6.0180723255630212E-3</v>
      </c>
      <c r="DC22" s="133">
        <f t="shared" si="23"/>
        <v>2.7959798763203321E-2</v>
      </c>
      <c r="DD22" s="133"/>
      <c r="DE22" s="383">
        <f t="shared" si="68"/>
        <v>1990.7700168033994</v>
      </c>
      <c r="DF22" s="241">
        <f t="shared" si="24"/>
        <v>1393.5390117623795</v>
      </c>
      <c r="DG22" s="241">
        <f t="shared" si="69"/>
        <v>1198.5166047054092</v>
      </c>
      <c r="DH22" s="148">
        <f t="shared" si="70"/>
        <v>810.87384825189793</v>
      </c>
      <c r="DI22" s="17">
        <f t="shared" si="53"/>
        <v>2801.6438650552973</v>
      </c>
      <c r="DJ22" s="267">
        <f t="shared" si="54"/>
        <v>245.035584551802</v>
      </c>
      <c r="DK22" s="135">
        <f t="shared" si="25"/>
        <v>2556.6082805034953</v>
      </c>
      <c r="DL22" s="245">
        <f>Colony!AD22</f>
        <v>200</v>
      </c>
      <c r="DM22" s="137">
        <f t="shared" si="55"/>
        <v>-272.9164258469267</v>
      </c>
      <c r="DN22" s="98">
        <f t="shared" si="63"/>
        <v>-72.9164258469267</v>
      </c>
      <c r="DO22" s="266">
        <f t="shared" si="26"/>
        <v>2483.6918546565685</v>
      </c>
      <c r="DP22" s="399">
        <f>FB$32</f>
        <v>0</v>
      </c>
      <c r="DQ22" s="135">
        <f t="shared" si="56"/>
        <v>0</v>
      </c>
      <c r="DR22" s="95">
        <f t="shared" si="27"/>
        <v>2483.6918546565685</v>
      </c>
      <c r="DS22" s="29">
        <f t="shared" si="28"/>
        <v>1.4546274890630657E-2</v>
      </c>
      <c r="DT22" s="272">
        <f t="shared" si="29"/>
        <v>40817</v>
      </c>
      <c r="DU22" s="89">
        <f t="shared" si="30"/>
        <v>953.00366947857424</v>
      </c>
      <c r="DV22" s="29">
        <f t="shared" si="31"/>
        <v>3.1766788982619143E-2</v>
      </c>
      <c r="DW22" s="145">
        <f t="shared" si="32"/>
        <v>10.006538529525031</v>
      </c>
      <c r="DX22" t="str">
        <f t="shared" si="64"/>
        <v/>
      </c>
      <c r="DY22" t="str">
        <f t="shared" si="65"/>
        <v/>
      </c>
      <c r="EA22">
        <f t="shared" si="67"/>
        <v>0</v>
      </c>
      <c r="EB22" s="17">
        <f t="shared" si="57"/>
        <v>12318.75</v>
      </c>
      <c r="EC22" s="18">
        <f t="shared" si="58"/>
        <v>-2000</v>
      </c>
      <c r="ED22" s="265">
        <f t="shared" si="59"/>
        <v>14318.75</v>
      </c>
      <c r="EE22" s="265">
        <f t="shared" si="66"/>
        <v>941.50684931506851</v>
      </c>
      <c r="EF22" s="104">
        <f t="shared" si="60"/>
        <v>0.6</v>
      </c>
      <c r="EG22" s="264">
        <f t="shared" si="61"/>
        <v>272.9164258469267</v>
      </c>
      <c r="EI22" s="17">
        <f t="shared" si="62"/>
        <v>810.87384825189793</v>
      </c>
      <c r="EJ22" s="164">
        <f>FB$57</f>
        <v>260.51414736612395</v>
      </c>
      <c r="EK22" s="37">
        <f>FA$59</f>
        <v>0.12367505713118467</v>
      </c>
      <c r="EO22" s="2">
        <v>40817</v>
      </c>
      <c r="EP22" s="260">
        <v>43191</v>
      </c>
    </row>
    <row r="23" spans="1:163" ht="12.65" customHeight="1" x14ac:dyDescent="0.3">
      <c r="B23" s="415" t="s">
        <v>350</v>
      </c>
      <c r="C23" s="416">
        <v>4</v>
      </c>
      <c r="D23" s="417">
        <f>'Current version'!BC5</f>
        <v>0</v>
      </c>
      <c r="E23" s="417">
        <f>'Current version'!BC6</f>
        <v>0</v>
      </c>
      <c r="F23" s="417">
        <f>'Current version'!BC7</f>
        <v>0</v>
      </c>
      <c r="G23" s="417">
        <f>'Current version'!BC8</f>
        <v>0</v>
      </c>
      <c r="H23" s="417">
        <f>'Current version'!BC9</f>
        <v>0</v>
      </c>
      <c r="I23" s="417">
        <f>'Current version'!BC10</f>
        <v>0</v>
      </c>
      <c r="J23" s="417">
        <f>'Current version'!BC11</f>
        <v>0</v>
      </c>
      <c r="K23" s="417">
        <f>'Current version'!BC12</f>
        <v>0</v>
      </c>
      <c r="L23" s="417">
        <f>'Current version'!BC13</f>
        <v>0</v>
      </c>
      <c r="M23" s="417">
        <f>'Current version'!BC14</f>
        <v>20</v>
      </c>
      <c r="N23" s="417">
        <f>'Current version'!BC15</f>
        <v>30</v>
      </c>
      <c r="O23" s="417">
        <f>'Current version'!BC16</f>
        <v>45</v>
      </c>
      <c r="P23" s="417">
        <f>'Current version'!BC17</f>
        <v>75</v>
      </c>
      <c r="Q23" s="417">
        <f>'Current version'!BC18</f>
        <v>200</v>
      </c>
      <c r="R23" s="417">
        <f>'Current version'!BC19</f>
        <v>400</v>
      </c>
      <c r="S23" s="417">
        <f>'Current version'!BC20</f>
        <v>500</v>
      </c>
      <c r="T23" s="417">
        <f>'Current version'!BC21</f>
        <v>400</v>
      </c>
      <c r="U23" s="417">
        <f>'Current version'!BC22</f>
        <v>200</v>
      </c>
      <c r="V23" s="417">
        <f>'Current version'!BC23</f>
        <v>100</v>
      </c>
      <c r="W23" s="417" t="str">
        <f>'Current version'!BC24</f>
        <v/>
      </c>
      <c r="X23" s="417" t="str">
        <f>'Current version'!BC25</f>
        <v/>
      </c>
      <c r="Y23" s="417" t="str">
        <f>'Current version'!BC26</f>
        <v/>
      </c>
      <c r="Z23" s="417" t="str">
        <f>'Current version'!BC27</f>
        <v/>
      </c>
      <c r="AA23" s="418" t="str">
        <f>'Current version'!BC28</f>
        <v/>
      </c>
      <c r="AB23" s="499"/>
      <c r="AC23" s="499"/>
      <c r="AE23" s="292"/>
      <c r="AF23" s="292"/>
      <c r="AZ23" s="412">
        <f t="shared" si="33"/>
        <v>40831</v>
      </c>
      <c r="BA23" s="59">
        <f t="shared" si="0"/>
        <v>2483.6918546565685</v>
      </c>
      <c r="BB23" s="304">
        <f t="shared" si="34"/>
        <v>5.0376419221572081E-3</v>
      </c>
      <c r="BC23" s="234">
        <f t="shared" si="1"/>
        <v>100</v>
      </c>
      <c r="BD23" s="123">
        <f t="shared" si="35"/>
        <v>19.032543249172036</v>
      </c>
      <c r="BE23" s="4">
        <f t="shared" si="2"/>
        <v>0.53495666421860677</v>
      </c>
      <c r="BF23" s="3">
        <f t="shared" si="3"/>
        <v>0.58384800455480101</v>
      </c>
      <c r="BG23" s="449" t="s">
        <v>345</v>
      </c>
      <c r="BH23" s="482" t="s">
        <v>346</v>
      </c>
      <c r="BI23" s="483"/>
      <c r="BJ23" s="483"/>
      <c r="BK23" s="483"/>
      <c r="BL23" s="484"/>
      <c r="BN23" s="447"/>
      <c r="BO23" s="272">
        <f t="shared" si="36"/>
        <v>40831</v>
      </c>
      <c r="BP23" s="381">
        <f>IF($AZ$31="d",Colony!H50,IF($AZ$31="n",Colony!H78,IF($AZ$31="p",Colony!H106,IF($AZ$31="a",Colony!H134,IF($AZ$31="b",Colony!H162,IF($AZ$31="c",Colony!H190,IF($AZ$31="r",Colony!H218,IF($AZ$31="s",Colony!H246,IF($AZ$31="f",Colony!H274,"error")))))))))</f>
        <v>12</v>
      </c>
      <c r="BQ23">
        <f t="shared" si="4"/>
        <v>24000</v>
      </c>
      <c r="BR23" s="81">
        <f>IF($AZ$31="d",Colony!F50,IF($AZ$31="n",Colony!F78,IF($AZ$31="p",Colony!F106,IF($AZ$31="a",Colony!F134,IF($AZ$31="b",Colony!F162,IF($AZ$31="c",Colony!F190,IF($AZ$31="r",Colony!F218,IF($AZ$31="s",Colony!F246,IF($AZ$31="f",Colony!F274,"error")))))))))</f>
        <v>0.5</v>
      </c>
      <c r="BS23" s="17">
        <f t="shared" si="5"/>
        <v>2250</v>
      </c>
      <c r="BT23" s="21">
        <f t="shared" si="6"/>
        <v>9.375E-2</v>
      </c>
      <c r="BU23">
        <f t="shared" si="37"/>
        <v>1350</v>
      </c>
      <c r="BV23" s="18">
        <f t="shared" si="38"/>
        <v>722.1914966951191</v>
      </c>
      <c r="BW23" s="18">
        <f t="shared" si="7"/>
        <v>112.5</v>
      </c>
      <c r="BX23" s="141">
        <f t="shared" si="39"/>
        <v>16.835618070658086</v>
      </c>
      <c r="BY23" s="27">
        <f t="shared" si="8"/>
        <v>28.835618070658086</v>
      </c>
      <c r="BZ23" s="32">
        <f t="shared" si="9"/>
        <v>0.58384800455480101</v>
      </c>
      <c r="CA23" s="130">
        <f t="shared" si="10"/>
        <v>0.41615199544519899</v>
      </c>
      <c r="CB23" s="28">
        <f t="shared" si="11"/>
        <v>1033.5933213863182</v>
      </c>
      <c r="CC23" s="256">
        <f t="shared" si="12"/>
        <v>1350</v>
      </c>
      <c r="CD23" s="80">
        <f>IF($AZ$31="d",Colony!J50,IF($AZ$31="n",Colony!J78,IF($AZ$31="p",Colony!J106,IF($AZ$31="a",Colony!J134,IF($AZ$31="b",Colony!J162,IF($AZ$31="c",Colony!J190,IF($AZ$31="r",Colony!J218,IF($AZ$31="s",Colony!J218,IF($AZ$31="f",Colony!J274,"error")))))))))</f>
        <v>0</v>
      </c>
      <c r="CE23" s="106">
        <f t="shared" si="40"/>
        <v>0</v>
      </c>
      <c r="CF23" s="75">
        <f t="shared" si="41"/>
        <v>0</v>
      </c>
      <c r="CG23" s="102">
        <f t="shared" si="42"/>
        <v>0</v>
      </c>
      <c r="CH23" s="72">
        <f t="shared" si="13"/>
        <v>0</v>
      </c>
      <c r="CI23" s="73">
        <f t="shared" si="43"/>
        <v>0</v>
      </c>
      <c r="CJ23" s="361">
        <f t="shared" si="44"/>
        <v>0</v>
      </c>
      <c r="CK23" s="362">
        <f t="shared" si="45"/>
        <v>0</v>
      </c>
      <c r="CL23" s="73">
        <f t="shared" si="14"/>
        <v>31.835618070658086</v>
      </c>
      <c r="CM23" s="360">
        <v>1</v>
      </c>
      <c r="CN23" s="84">
        <f t="shared" si="15"/>
        <v>4.2749999999999995</v>
      </c>
      <c r="CO23" s="78">
        <f t="shared" si="46"/>
        <v>9.8493837450082944E-2</v>
      </c>
      <c r="CP23" s="103">
        <f t="shared" si="47"/>
        <v>0.41615199544519899</v>
      </c>
      <c r="CQ23" s="71">
        <f t="shared" si="48"/>
        <v>1350</v>
      </c>
      <c r="CR23" s="71">
        <f t="shared" si="16"/>
        <v>1033.5933213863182</v>
      </c>
      <c r="CS23" s="74">
        <f t="shared" si="17"/>
        <v>0.76562468250838378</v>
      </c>
      <c r="CT23" s="358">
        <f t="shared" si="49"/>
        <v>0.53495666421860677</v>
      </c>
      <c r="CU23" s="360">
        <f t="shared" si="50"/>
        <v>1.4311874260680122</v>
      </c>
      <c r="CV23" s="76">
        <f t="shared" si="18"/>
        <v>1</v>
      </c>
      <c r="CW23" s="74">
        <f t="shared" si="19"/>
        <v>28.835618070658086</v>
      </c>
      <c r="CX23" s="359">
        <v>1</v>
      </c>
      <c r="CY23" s="83">
        <f t="shared" si="51"/>
        <v>2.2586249999999999</v>
      </c>
      <c r="CZ23" s="79">
        <f t="shared" si="20"/>
        <v>6.518049768398862E-2</v>
      </c>
      <c r="DA23" s="112">
        <f t="shared" si="21"/>
        <v>2.7124994175303035E-2</v>
      </c>
      <c r="DB23" s="55">
        <f t="shared" si="22"/>
        <v>-5.0125418235442863E-3</v>
      </c>
      <c r="DC23" s="133">
        <f t="shared" si="23"/>
        <v>2.2112452351758748E-2</v>
      </c>
      <c r="DD23" s="133"/>
      <c r="DE23" s="383">
        <f t="shared" si="68"/>
        <v>2483.6918546565685</v>
      </c>
      <c r="DF23" s="241">
        <f t="shared" si="24"/>
        <v>1738.5842982595977</v>
      </c>
      <c r="DG23" s="241">
        <f t="shared" si="69"/>
        <v>1523.5647858449613</v>
      </c>
      <c r="DH23" s="148">
        <f t="shared" si="70"/>
        <v>777.97597798341508</v>
      </c>
      <c r="DI23" s="17">
        <f t="shared" si="53"/>
        <v>3261.6678326399833</v>
      </c>
      <c r="DJ23" s="267">
        <f t="shared" si="54"/>
        <v>239.4037015997601</v>
      </c>
      <c r="DK23" s="135">
        <f t="shared" si="25"/>
        <v>3022.2641310402232</v>
      </c>
      <c r="DL23" s="245">
        <f>Colony!AD23</f>
        <v>100</v>
      </c>
      <c r="DM23" s="137">
        <f t="shared" si="55"/>
        <v>-440.80729632457377</v>
      </c>
      <c r="DN23" s="98">
        <f t="shared" si="63"/>
        <v>-340.80729632457377</v>
      </c>
      <c r="DO23" s="266">
        <f t="shared" si="26"/>
        <v>2681.4568347156496</v>
      </c>
      <c r="DP23" s="399">
        <f>FC$32</f>
        <v>0</v>
      </c>
      <c r="DQ23" s="135">
        <f t="shared" si="56"/>
        <v>0</v>
      </c>
      <c r="DR23" s="95">
        <f t="shared" si="27"/>
        <v>2681.4568347156496</v>
      </c>
      <c r="DS23" s="29">
        <f t="shared" si="28"/>
        <v>5.0376419221572081E-3</v>
      </c>
      <c r="DT23" s="272">
        <f t="shared" si="29"/>
        <v>40831</v>
      </c>
      <c r="DU23" s="89">
        <f t="shared" si="30"/>
        <v>1450.0985332702503</v>
      </c>
      <c r="DV23" s="29">
        <f t="shared" si="31"/>
        <v>6.0420772219593764E-2</v>
      </c>
      <c r="DW23" s="145">
        <f t="shared" si="32"/>
        <v>19.032543249172036</v>
      </c>
      <c r="DX23" t="str">
        <f t="shared" si="64"/>
        <v/>
      </c>
      <c r="DY23" t="str">
        <f t="shared" si="65"/>
        <v/>
      </c>
      <c r="EA23">
        <f t="shared" si="67"/>
        <v>0</v>
      </c>
      <c r="EB23" s="17">
        <f t="shared" si="57"/>
        <v>6159.375</v>
      </c>
      <c r="EC23" s="18">
        <f t="shared" si="58"/>
        <v>-6000</v>
      </c>
      <c r="ED23" s="265">
        <f t="shared" si="59"/>
        <v>12159.375</v>
      </c>
      <c r="EE23" s="265">
        <f t="shared" si="66"/>
        <v>799.52054794520541</v>
      </c>
      <c r="EF23" s="104">
        <f t="shared" si="60"/>
        <v>0.6</v>
      </c>
      <c r="EG23" s="264">
        <f t="shared" si="61"/>
        <v>440.80729632457377</v>
      </c>
      <c r="EI23" s="17">
        <f t="shared" si="62"/>
        <v>777.97597798341508</v>
      </c>
      <c r="EJ23" s="164">
        <f>FC$57</f>
        <v>349.61614483992992</v>
      </c>
      <c r="EK23" s="37">
        <f>FB$59</f>
        <v>0.11723336306321035</v>
      </c>
      <c r="EO23" s="2">
        <v>40831</v>
      </c>
      <c r="EP23" s="260">
        <v>43205</v>
      </c>
      <c r="ES23">
        <v>25.83</v>
      </c>
    </row>
    <row r="24" spans="1:163" ht="12.75" customHeight="1" x14ac:dyDescent="0.3">
      <c r="B24" s="354" t="s">
        <v>94</v>
      </c>
      <c r="C24" s="423">
        <f>1-'Current version'!BF4</f>
        <v>0</v>
      </c>
      <c r="D24" s="423">
        <f>1-'Current version'!BF5</f>
        <v>0.39637935950910275</v>
      </c>
      <c r="E24" s="423">
        <f>1-'Current version'!BF6</f>
        <v>0.41542803120999716</v>
      </c>
      <c r="F24" s="423">
        <f>1-'Current version'!BF7</f>
        <v>0.49765046718327932</v>
      </c>
      <c r="G24" s="423">
        <f>1-'Current version'!BF8</f>
        <v>0.52921954133048477</v>
      </c>
      <c r="H24" s="423">
        <f>1-'Current version'!BF9</f>
        <v>0.65081532324296698</v>
      </c>
      <c r="I24" s="423">
        <f>1-'Current version'!BF10</f>
        <v>0.73121308739562751</v>
      </c>
      <c r="J24" s="423">
        <f>1-'Current version'!BF11</f>
        <v>0.78455129248541799</v>
      </c>
      <c r="K24" s="423">
        <f>1-'Current version'!BF12</f>
        <v>0.75112537656379341</v>
      </c>
      <c r="L24" s="423">
        <f>1-'Current version'!BF13</f>
        <v>0.70066491185305146</v>
      </c>
      <c r="M24" s="423">
        <f>1-'Current version'!BF14</f>
        <v>0.6689711582295691</v>
      </c>
      <c r="N24" s="423">
        <f>1-'Current version'!BF15</f>
        <v>0.63020078776056976</v>
      </c>
      <c r="O24" s="423">
        <f>1-'Current version'!BF16</f>
        <v>0.60371827901019159</v>
      </c>
      <c r="P24" s="423">
        <f>1-'Current version'!BF17</f>
        <v>0.57163167812269144</v>
      </c>
      <c r="Q24" s="423">
        <f>1-'Current version'!BF18</f>
        <v>0.55763789267006758</v>
      </c>
      <c r="R24" s="423">
        <f>1-'Current version'!BF19</f>
        <v>0.55894312923756839</v>
      </c>
      <c r="S24" s="423">
        <f>1-'Current version'!BF20</f>
        <v>0.56064996971063963</v>
      </c>
      <c r="T24" s="423">
        <f>1-'Current version'!BF21</f>
        <v>0.60371827901019159</v>
      </c>
      <c r="U24" s="423">
        <f>1-'Current version'!BF22</f>
        <v>0.52128891763759722</v>
      </c>
      <c r="V24" s="423">
        <f>1-'Current version'!BF23</f>
        <v>0.41615199544519899</v>
      </c>
      <c r="W24" s="423" t="e">
        <f>1-'Current version'!BF24</f>
        <v>#VALUE!</v>
      </c>
      <c r="X24" s="423" t="e">
        <f>1-'Current version'!BF25</f>
        <v>#VALUE!</v>
      </c>
      <c r="Y24" s="423" t="e">
        <f>1-'Current version'!BF26</f>
        <v>#VALUE!</v>
      </c>
      <c r="Z24" s="423" t="e">
        <f>1-'Current version'!BF27</f>
        <v>#VALUE!</v>
      </c>
      <c r="AA24" s="424" t="e">
        <f>1-'Current version'!BF28</f>
        <v>#VALUE!</v>
      </c>
      <c r="AB24" s="499"/>
      <c r="AC24" s="499"/>
      <c r="AE24" s="292"/>
      <c r="AF24" s="292"/>
      <c r="AG24" s="518" t="s">
        <v>207</v>
      </c>
      <c r="AH24" s="518"/>
      <c r="AI24" s="518"/>
      <c r="AJ24" s="518"/>
      <c r="AK24" s="518"/>
      <c r="AL24" s="518"/>
      <c r="AM24" s="518"/>
      <c r="AN24" s="518"/>
      <c r="AO24" s="518"/>
      <c r="AP24" s="518"/>
      <c r="AQ24" s="518"/>
      <c r="AR24" s="518"/>
      <c r="AS24" s="518"/>
      <c r="AT24" s="518"/>
      <c r="AU24" s="518"/>
      <c r="AV24" s="519"/>
      <c r="AW24" s="520">
        <f>LN(BA21/BA11)/(AZ21-AZ11)</f>
        <v>1.1208891600507059E-2</v>
      </c>
      <c r="AX24" s="520"/>
      <c r="AZ24" s="412">
        <f t="shared" si="33"/>
        <v>40848</v>
      </c>
      <c r="BA24" s="59" t="str">
        <f t="shared" si="0"/>
        <v/>
      </c>
      <c r="BB24" s="304" t="str">
        <f t="shared" si="34"/>
        <v/>
      </c>
      <c r="BC24" s="234" t="str">
        <f t="shared" si="1"/>
        <v/>
      </c>
      <c r="BD24" s="123" t="str">
        <f t="shared" si="35"/>
        <v/>
      </c>
      <c r="BE24" s="4" t="str">
        <f t="shared" si="2"/>
        <v/>
      </c>
      <c r="BF24" s="3" t="str">
        <f t="shared" si="3"/>
        <v/>
      </c>
      <c r="BG24" s="450"/>
      <c r="BH24" s="485"/>
      <c r="BI24" s="486"/>
      <c r="BJ24" s="486"/>
      <c r="BK24" s="486"/>
      <c r="BL24" s="487"/>
      <c r="BN24" s="447"/>
      <c r="BO24" s="272">
        <f t="shared" si="36"/>
        <v>40848</v>
      </c>
      <c r="BP24" s="381">
        <f>IF($AZ$31="d",Colony!H51,IF($AZ$31="n",Colony!H79,IF($AZ$31="p",Colony!H107,IF($AZ$31="a",Colony!H135,IF($AZ$31="b",Colony!H163,IF($AZ$31="c",Colony!H191,IF($AZ$31="r",Colony!H219,IF($AZ$31="s",Colony!H247,IF($AZ$31="f",Colony!H275,"error")))))))))</f>
        <v>9</v>
      </c>
      <c r="BQ24">
        <f t="shared" si="4"/>
        <v>18000</v>
      </c>
      <c r="BR24" s="81">
        <f>IF($AZ$31="d",Colony!F51,IF($AZ$31="n",Colony!F79,IF($AZ$31="p",Colony!F107,IF($AZ$31="a",Colony!F135,IF($AZ$31="b",Colony!F163,IF($AZ$31="c",Colony!F191,IF($AZ$31="r",Colony!F219,IF($AZ$31="s",Colony!F247,IF($AZ$31="f",Colony!F275,"error")))))))))</f>
        <v>0</v>
      </c>
      <c r="BS24" s="17">
        <f t="shared" si="5"/>
        <v>1</v>
      </c>
      <c r="BT24" s="21">
        <f t="shared" si="6"/>
        <v>5.5555555555555558E-5</v>
      </c>
      <c r="BU24">
        <f t="shared" si="37"/>
        <v>0.6</v>
      </c>
      <c r="BV24" s="18">
        <f t="shared" si="38"/>
        <v>0</v>
      </c>
      <c r="BW24" s="18">
        <f t="shared" si="7"/>
        <v>0.05</v>
      </c>
      <c r="BX24" s="141">
        <f t="shared" si="39"/>
        <v>53.990635184391508</v>
      </c>
      <c r="BY24" s="27">
        <f t="shared" si="8"/>
        <v>65.990635184391508</v>
      </c>
      <c r="BZ24" s="32">
        <f t="shared" si="9"/>
        <v>1</v>
      </c>
      <c r="CA24" s="130">
        <f t="shared" si="10"/>
        <v>0</v>
      </c>
      <c r="CB24" s="28">
        <f t="shared" si="11"/>
        <v>0</v>
      </c>
      <c r="CC24" s="256">
        <f t="shared" si="12"/>
        <v>0.6</v>
      </c>
      <c r="CD24" s="80">
        <f>IF($AZ$31="d",Colony!J51,IF($AZ$31="n",Colony!J79,IF($AZ$31="p",Colony!J107,IF($AZ$31="a",Colony!J135,IF($AZ$31="b",Colony!J163,IF($AZ$31="c",Colony!J191,IF($AZ$31="r",Colony!J219,IF($AZ$31="s",Colony!J219,IF($AZ$31="f",Colony!J275,"error")))))))))</f>
        <v>0</v>
      </c>
      <c r="CE24" s="106">
        <f t="shared" si="40"/>
        <v>0</v>
      </c>
      <c r="CF24" s="75">
        <f t="shared" si="41"/>
        <v>0</v>
      </c>
      <c r="CG24" s="102">
        <f t="shared" si="42"/>
        <v>0</v>
      </c>
      <c r="CH24" s="72">
        <f t="shared" si="13"/>
        <v>0</v>
      </c>
      <c r="CI24" s="73">
        <f t="shared" si="43"/>
        <v>0</v>
      </c>
      <c r="CJ24" s="361">
        <f t="shared" si="44"/>
        <v>0</v>
      </c>
      <c r="CK24" s="362">
        <f t="shared" si="45"/>
        <v>0</v>
      </c>
      <c r="CL24" s="73">
        <f t="shared" si="14"/>
        <v>68.990635184391508</v>
      </c>
      <c r="CM24" s="360">
        <v>1</v>
      </c>
      <c r="CN24" s="84">
        <f t="shared" si="15"/>
        <v>4.2749999999999995</v>
      </c>
      <c r="CO24" s="78">
        <f t="shared" si="46"/>
        <v>9.8493837450082944E-2</v>
      </c>
      <c r="CP24" s="103">
        <f t="shared" si="47"/>
        <v>0</v>
      </c>
      <c r="CQ24" s="71">
        <f t="shared" si="48"/>
        <v>0.6</v>
      </c>
      <c r="CR24" s="71">
        <f t="shared" si="16"/>
        <v>0</v>
      </c>
      <c r="CS24" s="74">
        <f t="shared" si="17"/>
        <v>0</v>
      </c>
      <c r="CT24" s="358">
        <f t="shared" si="49"/>
        <v>0</v>
      </c>
      <c r="CU24" s="360">
        <f t="shared" si="50"/>
        <v>0</v>
      </c>
      <c r="CV24" s="76">
        <f t="shared" si="18"/>
        <v>1</v>
      </c>
      <c r="CW24" s="74">
        <f t="shared" si="19"/>
        <v>65.990635184391508</v>
      </c>
      <c r="CX24" s="359">
        <v>1</v>
      </c>
      <c r="CY24" s="83">
        <f t="shared" si="51"/>
        <v>2.2586249999999999</v>
      </c>
      <c r="CZ24" s="79">
        <f t="shared" si="20"/>
        <v>0</v>
      </c>
      <c r="DA24" s="112">
        <f t="shared" si="21"/>
        <v>0</v>
      </c>
      <c r="DB24" s="55">
        <f t="shared" si="22"/>
        <v>-5.0125418235442863E-3</v>
      </c>
      <c r="DC24" s="133">
        <f t="shared" si="23"/>
        <v>-5.0125418235442863E-3</v>
      </c>
      <c r="DD24" s="133"/>
      <c r="DE24" s="383">
        <f t="shared" si="68"/>
        <v>2681.4568347156496</v>
      </c>
      <c r="DF24" s="241">
        <f t="shared" si="24"/>
        <v>1877.0197843009546</v>
      </c>
      <c r="DG24" s="241">
        <f t="shared" si="69"/>
        <v>1656.9704424511722</v>
      </c>
      <c r="DH24" s="148">
        <f t="shared" si="70"/>
        <v>0</v>
      </c>
      <c r="DI24" s="17">
        <f t="shared" si="53"/>
        <v>2681.4568347156496</v>
      </c>
      <c r="DJ24" s="267">
        <f t="shared" si="54"/>
        <v>196.81669772955092</v>
      </c>
      <c r="DK24" s="135">
        <f t="shared" si="25"/>
        <v>2484.6401369860987</v>
      </c>
      <c r="DL24" s="245">
        <f>Colony!AD24</f>
        <v>30</v>
      </c>
      <c r="DM24" s="137">
        <f t="shared" si="55"/>
        <v>-673.92551853751911</v>
      </c>
      <c r="DN24" s="98">
        <f t="shared" si="63"/>
        <v>-643.92551853751911</v>
      </c>
      <c r="DO24" s="266">
        <f t="shared" si="26"/>
        <v>1840.7146184485796</v>
      </c>
      <c r="DP24" s="399">
        <f>FD$32</f>
        <v>0</v>
      </c>
      <c r="DQ24" s="135">
        <f t="shared" si="56"/>
        <v>0</v>
      </c>
      <c r="DR24" s="95">
        <f t="shared" si="27"/>
        <v>1840.7146184485796</v>
      </c>
      <c r="DS24" s="29">
        <f t="shared" si="28"/>
        <v>-2.4736856946343387E-2</v>
      </c>
      <c r="DT24" s="272">
        <f t="shared" si="29"/>
        <v>40848</v>
      </c>
      <c r="DU24" s="89">
        <f t="shared" si="30"/>
        <v>2681.4568347156496</v>
      </c>
      <c r="DV24" s="29">
        <f t="shared" si="31"/>
        <v>0.14896982415086943</v>
      </c>
      <c r="DW24" s="145">
        <f t="shared" si="32"/>
        <v>46.925494607523873</v>
      </c>
      <c r="DX24" t="str">
        <f t="shared" si="64"/>
        <v/>
      </c>
      <c r="DY24">
        <f t="shared" si="65"/>
        <v>100</v>
      </c>
      <c r="DZ24">
        <f>IF(DW$21&gt;60,100,0)</f>
        <v>0</v>
      </c>
      <c r="EA24">
        <f t="shared" si="67"/>
        <v>100</v>
      </c>
      <c r="EB24" s="17">
        <f t="shared" si="57"/>
        <v>1539.84375</v>
      </c>
      <c r="EC24" s="18">
        <f t="shared" si="58"/>
        <v>-6000</v>
      </c>
      <c r="ED24" s="265">
        <f t="shared" si="59"/>
        <v>7539.84375</v>
      </c>
      <c r="EE24" s="265">
        <f t="shared" si="66"/>
        <v>495.77054794520546</v>
      </c>
      <c r="EF24" s="104">
        <f t="shared" si="60"/>
        <v>0.6</v>
      </c>
      <c r="EG24" s="264">
        <f t="shared" si="61"/>
        <v>673.92551853751911</v>
      </c>
      <c r="EI24" s="17">
        <f t="shared" si="62"/>
        <v>0</v>
      </c>
      <c r="EJ24" s="164">
        <f>FD$57</f>
        <v>470.09113487850777</v>
      </c>
      <c r="EK24" s="37">
        <f>FC$59</f>
        <v>0.12449169696803959</v>
      </c>
      <c r="EO24" s="2">
        <v>40848</v>
      </c>
      <c r="EP24" s="260">
        <v>43221</v>
      </c>
    </row>
    <row r="25" spans="1:163" ht="13" customHeight="1" x14ac:dyDescent="0.3">
      <c r="B25" s="413"/>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E25" s="292"/>
      <c r="AF25" s="292"/>
      <c r="AG25" s="521" t="s">
        <v>203</v>
      </c>
      <c r="AH25" s="521"/>
      <c r="AI25" s="521"/>
      <c r="AJ25" s="521"/>
      <c r="AK25" s="521"/>
      <c r="AL25" s="521"/>
      <c r="AM25" s="521"/>
      <c r="AN25" s="521"/>
      <c r="AO25" s="521"/>
      <c r="AP25" s="521"/>
      <c r="AQ25" s="521"/>
      <c r="AR25" s="521"/>
      <c r="AS25" s="521"/>
      <c r="AT25" s="521"/>
      <c r="AU25" s="521"/>
      <c r="AV25" s="522"/>
      <c r="AW25" s="523" t="s">
        <v>146</v>
      </c>
      <c r="AX25" s="524"/>
      <c r="AZ25" s="412">
        <f t="shared" si="33"/>
        <v>40862</v>
      </c>
      <c r="BA25" s="59" t="str">
        <f t="shared" si="0"/>
        <v/>
      </c>
      <c r="BB25" s="304" t="str">
        <f t="shared" si="34"/>
        <v/>
      </c>
      <c r="BC25" s="234" t="str">
        <f t="shared" si="1"/>
        <v/>
      </c>
      <c r="BD25" s="123" t="str">
        <f t="shared" si="35"/>
        <v/>
      </c>
      <c r="BE25" s="4" t="str">
        <f t="shared" si="2"/>
        <v/>
      </c>
      <c r="BF25" s="3" t="str">
        <f t="shared" si="3"/>
        <v/>
      </c>
      <c r="BL25" s="37"/>
      <c r="BN25" s="447"/>
      <c r="BO25" s="272">
        <f t="shared" si="36"/>
        <v>40862</v>
      </c>
      <c r="BP25" s="381">
        <f>IF($AZ$31="d",Colony!H52,IF($AZ$31="n",Colony!H80,IF($AZ$31="p",Colony!H108,IF($AZ$31="a",Colony!H136,IF($AZ$31="b",Colony!H164,IF($AZ$31="c",Colony!H192,IF($AZ$31="r",Colony!H220,IF($AZ$31="s",Colony!H248,IF($AZ$31="f",Colony!H276,"error")))))))))</f>
        <v>8.5</v>
      </c>
      <c r="BQ25">
        <f t="shared" si="4"/>
        <v>17000</v>
      </c>
      <c r="BR25" s="81">
        <f>IF($AZ$31="d",Colony!F52,IF($AZ$31="n",Colony!F80,IF($AZ$31="p",Colony!F108,IF($AZ$31="a",Colony!F136,IF($AZ$31="b",Colony!F164,IF($AZ$31="c",Colony!F192,IF($AZ$31="r",Colony!F220,IF($AZ$31="s",Colony!F248,IF($AZ$31="f",Colony!F276,"error")))))))))</f>
        <v>0</v>
      </c>
      <c r="BS25" s="17">
        <f t="shared" si="5"/>
        <v>1</v>
      </c>
      <c r="BT25" s="21">
        <f t="shared" si="6"/>
        <v>5.8823529411764708E-5</v>
      </c>
      <c r="BU25">
        <f t="shared" si="37"/>
        <v>0.6</v>
      </c>
      <c r="BV25" s="18">
        <f t="shared" si="38"/>
        <v>0</v>
      </c>
      <c r="BW25" s="18">
        <f t="shared" si="7"/>
        <v>0.05</v>
      </c>
      <c r="BX25" s="141">
        <f t="shared" si="39"/>
        <v>53.704843115191771</v>
      </c>
      <c r="BY25" s="27">
        <f t="shared" si="8"/>
        <v>65.704843115191778</v>
      </c>
      <c r="BZ25" s="32">
        <f t="shared" si="9"/>
        <v>1</v>
      </c>
      <c r="CA25" s="130">
        <f t="shared" si="10"/>
        <v>0</v>
      </c>
      <c r="CB25" s="28">
        <f t="shared" si="11"/>
        <v>0</v>
      </c>
      <c r="CC25" s="256">
        <f t="shared" si="12"/>
        <v>0.6</v>
      </c>
      <c r="CD25" s="80">
        <f>IF($AZ$31="d",Colony!J52,IF($AZ$31="n",Colony!J80,IF($AZ$31="p",Colony!J108,IF($AZ$31="a",Colony!J136,IF($AZ$31="b",Colony!J164,IF($AZ$31="c",Colony!J192,IF($AZ$31="r",Colony!J220,IF($AZ$31="s",Colony!J220,IF($AZ$31="f",Colony!J276,"error")))))))))</f>
        <v>0</v>
      </c>
      <c r="CE25" s="106">
        <f t="shared" si="40"/>
        <v>0</v>
      </c>
      <c r="CF25" s="75">
        <f t="shared" si="41"/>
        <v>0</v>
      </c>
      <c r="CG25" s="102">
        <f t="shared" si="42"/>
        <v>0</v>
      </c>
      <c r="CH25" s="72">
        <f t="shared" si="13"/>
        <v>0</v>
      </c>
      <c r="CI25" s="73">
        <f t="shared" si="43"/>
        <v>0</v>
      </c>
      <c r="CJ25" s="361">
        <f t="shared" si="44"/>
        <v>0</v>
      </c>
      <c r="CK25" s="362">
        <f t="shared" si="45"/>
        <v>0</v>
      </c>
      <c r="CL25" s="73">
        <f t="shared" si="14"/>
        <v>68.704843115191778</v>
      </c>
      <c r="CM25" s="360">
        <v>1</v>
      </c>
      <c r="CN25" s="84">
        <f t="shared" si="15"/>
        <v>4.2749999999999995</v>
      </c>
      <c r="CO25" s="78">
        <f t="shared" si="46"/>
        <v>9.8493837450082944E-2</v>
      </c>
      <c r="CP25" s="103">
        <f t="shared" si="47"/>
        <v>0</v>
      </c>
      <c r="CQ25" s="71">
        <f t="shared" si="48"/>
        <v>0.6</v>
      </c>
      <c r="CR25" s="71">
        <f t="shared" si="16"/>
        <v>0</v>
      </c>
      <c r="CS25" s="74">
        <f t="shared" si="17"/>
        <v>0</v>
      </c>
      <c r="CT25" s="358">
        <f t="shared" si="49"/>
        <v>0</v>
      </c>
      <c r="CU25" s="360">
        <f t="shared" si="50"/>
        <v>0</v>
      </c>
      <c r="CV25" s="76">
        <f t="shared" si="18"/>
        <v>1</v>
      </c>
      <c r="CW25" s="74">
        <f t="shared" si="19"/>
        <v>65.704843115191778</v>
      </c>
      <c r="CX25" s="359">
        <v>1</v>
      </c>
      <c r="CY25" s="83">
        <f t="shared" si="51"/>
        <v>2.2586249999999999</v>
      </c>
      <c r="CZ25" s="79">
        <f t="shared" si="20"/>
        <v>0</v>
      </c>
      <c r="DA25" s="112">
        <f t="shared" si="21"/>
        <v>0</v>
      </c>
      <c r="DB25" s="55">
        <f t="shared" si="22"/>
        <v>-5.0125418235442863E-3</v>
      </c>
      <c r="DC25" s="133">
        <f t="shared" si="23"/>
        <v>-5.0125418235442863E-3</v>
      </c>
      <c r="DD25" s="133"/>
      <c r="DE25" s="383">
        <f t="shared" si="68"/>
        <v>1840.7146184485796</v>
      </c>
      <c r="DF25" s="241">
        <f t="shared" si="24"/>
        <v>1288.5002329140057</v>
      </c>
      <c r="DG25" s="241">
        <f t="shared" si="69"/>
        <v>1128.0926523748267</v>
      </c>
      <c r="DH25" s="148">
        <f t="shared" si="70"/>
        <v>0</v>
      </c>
      <c r="DI25" s="17">
        <f t="shared" si="53"/>
        <v>1840.7146184485796</v>
      </c>
      <c r="DJ25" s="267">
        <f t="shared" si="54"/>
        <v>135.10691948318367</v>
      </c>
      <c r="DK25" s="135">
        <f t="shared" si="25"/>
        <v>1705.6076989653959</v>
      </c>
      <c r="DL25" s="245">
        <f>Colony!AD25</f>
        <v>0</v>
      </c>
      <c r="DM25" s="137">
        <f t="shared" si="55"/>
        <v>-65.010859677020477</v>
      </c>
      <c r="DN25" s="98">
        <f t="shared" si="63"/>
        <v>-65.010859677020477</v>
      </c>
      <c r="DO25" s="266">
        <f t="shared" si="26"/>
        <v>1640.5968392883753</v>
      </c>
      <c r="DP25" s="399">
        <f>FE$32</f>
        <v>0</v>
      </c>
      <c r="DQ25" s="135">
        <f t="shared" si="56"/>
        <v>0</v>
      </c>
      <c r="DR25" s="95">
        <f t="shared" si="27"/>
        <v>1640.5968392883753</v>
      </c>
      <c r="DS25" s="29">
        <f t="shared" si="28"/>
        <v>-7.5678097832135418E-3</v>
      </c>
      <c r="DT25" s="272">
        <f t="shared" si="29"/>
        <v>40862</v>
      </c>
      <c r="DU25" s="89">
        <f t="shared" si="30"/>
        <v>1840.7146184485796</v>
      </c>
      <c r="DV25" s="29">
        <f t="shared" si="31"/>
        <v>0.10827733049697527</v>
      </c>
      <c r="DW25" s="145">
        <f t="shared" si="32"/>
        <v>34.107359106547207</v>
      </c>
      <c r="DX25">
        <f t="shared" si="64"/>
        <v>100</v>
      </c>
      <c r="DY25">
        <f t="shared" si="65"/>
        <v>100</v>
      </c>
      <c r="DZ25">
        <f>IF(DW$21&gt;60,100,0)</f>
        <v>0</v>
      </c>
      <c r="EA25">
        <f t="shared" si="67"/>
        <v>200</v>
      </c>
      <c r="EB25" s="17">
        <f t="shared" si="57"/>
        <v>0.68437499999999996</v>
      </c>
      <c r="EC25" s="18">
        <f t="shared" si="58"/>
        <v>-1000</v>
      </c>
      <c r="ED25" s="265">
        <f t="shared" si="59"/>
        <v>1000.684375</v>
      </c>
      <c r="EE25" s="265">
        <f t="shared" si="66"/>
        <v>65.798424657534241</v>
      </c>
      <c r="EF25" s="104">
        <f t="shared" si="60"/>
        <v>0.6</v>
      </c>
      <c r="EG25" s="264">
        <f t="shared" si="61"/>
        <v>65.010859677020477</v>
      </c>
      <c r="EI25" s="17">
        <f t="shared" si="62"/>
        <v>0</v>
      </c>
      <c r="EJ25" s="164">
        <f>FE$57</f>
        <v>618.73542264416892</v>
      </c>
      <c r="EK25" s="37">
        <f>FD$59</f>
        <v>0.1832041058513354</v>
      </c>
      <c r="EO25" s="2">
        <v>40862</v>
      </c>
      <c r="EP25" s="260">
        <v>43235</v>
      </c>
      <c r="ES25">
        <v>17.954999999999998</v>
      </c>
    </row>
    <row r="26" spans="1:163" ht="13" customHeight="1" x14ac:dyDescent="0.3">
      <c r="B26" s="413"/>
      <c r="C26" s="413"/>
      <c r="D26" s="413"/>
      <c r="E26" s="413"/>
      <c r="F26" s="413"/>
      <c r="G26" s="413"/>
      <c r="H26" s="413"/>
      <c r="I26" s="413"/>
      <c r="J26" s="413"/>
      <c r="K26" s="413"/>
      <c r="L26" s="413"/>
      <c r="M26" s="413"/>
      <c r="N26" s="413"/>
      <c r="O26" s="413"/>
      <c r="P26" s="413"/>
      <c r="Q26" s="413"/>
      <c r="R26" s="413"/>
      <c r="S26" s="413"/>
      <c r="T26" s="413"/>
      <c r="U26" s="413"/>
      <c r="V26" s="413"/>
      <c r="W26" s="413"/>
      <c r="X26" s="413"/>
      <c r="Y26" s="413"/>
      <c r="Z26" s="413"/>
      <c r="AA26" s="413"/>
      <c r="AB26" s="413"/>
      <c r="AC26" s="413"/>
      <c r="AF26" s="425"/>
      <c r="AG26" s="6"/>
      <c r="AU26" s="382"/>
      <c r="AZ26" s="412">
        <f t="shared" si="33"/>
        <v>40878</v>
      </c>
      <c r="BA26" s="59" t="str">
        <f t="shared" si="0"/>
        <v/>
      </c>
      <c r="BB26" s="304" t="str">
        <f t="shared" si="34"/>
        <v/>
      </c>
      <c r="BC26" s="234" t="str">
        <f t="shared" si="1"/>
        <v/>
      </c>
      <c r="BD26" s="123" t="str">
        <f t="shared" si="35"/>
        <v/>
      </c>
      <c r="BE26" s="4" t="str">
        <f t="shared" si="2"/>
        <v/>
      </c>
      <c r="BF26" s="3" t="str">
        <f t="shared" si="3"/>
        <v/>
      </c>
      <c r="BL26" s="37"/>
      <c r="BN26" s="447"/>
      <c r="BO26" s="272">
        <f t="shared" si="36"/>
        <v>40878</v>
      </c>
      <c r="BP26" s="381">
        <f>IF($AZ$31="d",Colony!H53,IF($AZ$31="n",Colony!H81,IF($AZ$31="p",Colony!H109,IF($AZ$31="a",Colony!H137,IF($AZ$31="b",Colony!H165,IF($AZ$31="c",Colony!H193,IF($AZ$31="r",Colony!H221,IF($AZ$31="s",Colony!H249,IF($AZ$31="f",Colony!H277,"error")))))))))</f>
        <v>8.25</v>
      </c>
      <c r="BQ26">
        <f t="shared" si="4"/>
        <v>16500</v>
      </c>
      <c r="BR26" s="81">
        <f>IF($AZ$31="d",Colony!F53,IF($AZ$31="n",Colony!F81,IF($AZ$31="p",Colony!F109,IF($AZ$31="a",Colony!F137,IF($AZ$31="b",Colony!F165,IF($AZ$31="c",Colony!F193,IF($AZ$31="r",Colony!F221,IF($AZ$31="s",Colony!F249,IF($AZ$31="f",Colony!F277,"error")))))))))</f>
        <v>0</v>
      </c>
      <c r="BS26" s="17">
        <f t="shared" si="5"/>
        <v>1</v>
      </c>
      <c r="BT26" s="21">
        <f t="shared" si="6"/>
        <v>6.0606060606060605E-5</v>
      </c>
      <c r="BU26">
        <f t="shared" si="37"/>
        <v>0.6</v>
      </c>
      <c r="BV26" s="18">
        <f t="shared" si="38"/>
        <v>0</v>
      </c>
      <c r="BW26" s="18">
        <f t="shared" si="7"/>
        <v>0.05</v>
      </c>
      <c r="BX26" s="141">
        <f t="shared" si="39"/>
        <v>53.555578299443354</v>
      </c>
      <c r="BY26" s="27">
        <f t="shared" si="8"/>
        <v>65.555578299443354</v>
      </c>
      <c r="BZ26" s="32">
        <f t="shared" si="9"/>
        <v>1</v>
      </c>
      <c r="CA26" s="130">
        <f t="shared" si="10"/>
        <v>0</v>
      </c>
      <c r="CB26" s="28">
        <f t="shared" si="11"/>
        <v>0</v>
      </c>
      <c r="CC26" s="256">
        <f t="shared" si="12"/>
        <v>0.6</v>
      </c>
      <c r="CD26" s="80">
        <f>IF($AZ$31="d",Colony!J53,IF($AZ$31="n",Colony!J81,IF($AZ$31="p",Colony!J109,IF($AZ$31="a",Colony!J137,IF($AZ$31="b",Colony!J165,IF($AZ$31="c",Colony!J193,IF($AZ$31="r",Colony!J221,IF($AZ$31="s",Colony!J221,IF($AZ$31="f",Colony!J277,"error")))))))))</f>
        <v>0</v>
      </c>
      <c r="CE26" s="106">
        <f t="shared" si="40"/>
        <v>0</v>
      </c>
      <c r="CF26" s="75">
        <f t="shared" si="41"/>
        <v>0</v>
      </c>
      <c r="CG26" s="102">
        <f t="shared" si="42"/>
        <v>0</v>
      </c>
      <c r="CH26" s="72">
        <f t="shared" si="13"/>
        <v>0</v>
      </c>
      <c r="CI26" s="73">
        <f t="shared" si="43"/>
        <v>0</v>
      </c>
      <c r="CJ26" s="361">
        <f t="shared" si="44"/>
        <v>0</v>
      </c>
      <c r="CK26" s="362">
        <f t="shared" si="45"/>
        <v>0</v>
      </c>
      <c r="CL26" s="73">
        <f t="shared" si="14"/>
        <v>68.555578299443354</v>
      </c>
      <c r="CM26" s="360">
        <v>1</v>
      </c>
      <c r="CN26" s="84">
        <f t="shared" si="15"/>
        <v>4.2749999999999995</v>
      </c>
      <c r="CO26" s="78">
        <f t="shared" si="46"/>
        <v>9.8493837450082944E-2</v>
      </c>
      <c r="CP26" s="103">
        <f t="shared" si="47"/>
        <v>0</v>
      </c>
      <c r="CQ26" s="71">
        <f t="shared" si="48"/>
        <v>0.6</v>
      </c>
      <c r="CR26" s="71">
        <f t="shared" si="16"/>
        <v>0</v>
      </c>
      <c r="CS26" s="74">
        <f t="shared" si="17"/>
        <v>0</v>
      </c>
      <c r="CT26" s="358">
        <f t="shared" si="49"/>
        <v>0</v>
      </c>
      <c r="CU26" s="360">
        <f t="shared" si="50"/>
        <v>0</v>
      </c>
      <c r="CV26" s="76">
        <f t="shared" si="18"/>
        <v>1</v>
      </c>
      <c r="CW26" s="74">
        <f t="shared" si="19"/>
        <v>65.555578299443354</v>
      </c>
      <c r="CX26" s="359">
        <v>1</v>
      </c>
      <c r="CY26" s="83">
        <f t="shared" si="51"/>
        <v>2.2586249999999999</v>
      </c>
      <c r="CZ26" s="79">
        <f t="shared" si="20"/>
        <v>0</v>
      </c>
      <c r="DA26" s="112">
        <f t="shared" si="21"/>
        <v>0</v>
      </c>
      <c r="DB26" s="55">
        <f t="shared" si="22"/>
        <v>-5.0125418235442863E-3</v>
      </c>
      <c r="DC26" s="133">
        <f t="shared" si="23"/>
        <v>-5.0125418235442863E-3</v>
      </c>
      <c r="DD26" s="133"/>
      <c r="DE26" s="383">
        <f t="shared" si="68"/>
        <v>1640.5968392883753</v>
      </c>
      <c r="DF26" s="241">
        <f t="shared" si="24"/>
        <v>1148.4177875018627</v>
      </c>
      <c r="DG26" s="241">
        <f t="shared" si="69"/>
        <v>938.02293359881503</v>
      </c>
      <c r="DH26" s="148">
        <f t="shared" si="70"/>
        <v>0</v>
      </c>
      <c r="DI26" s="17">
        <f t="shared" si="53"/>
        <v>1640.5968392883753</v>
      </c>
      <c r="DJ26" s="267">
        <f t="shared" si="54"/>
        <v>120.41844121220674</v>
      </c>
      <c r="DK26" s="135">
        <f t="shared" si="25"/>
        <v>1520.1783980761686</v>
      </c>
      <c r="DL26" s="245">
        <f>Colony!AD26</f>
        <v>0</v>
      </c>
      <c r="DM26" s="137">
        <f t="shared" si="55"/>
        <v>-29.869861931130021</v>
      </c>
      <c r="DN26" s="98">
        <f t="shared" si="63"/>
        <v>-29.869861931130021</v>
      </c>
      <c r="DO26" s="266">
        <f t="shared" si="26"/>
        <v>1490.3085361450385</v>
      </c>
      <c r="DP26" s="399">
        <f>FF$32</f>
        <v>0</v>
      </c>
      <c r="DQ26" s="135">
        <f t="shared" si="56"/>
        <v>0</v>
      </c>
      <c r="DR26" s="95">
        <f t="shared" si="27"/>
        <v>1490.3085361450385</v>
      </c>
      <c r="DS26" s="29">
        <f t="shared" si="28"/>
        <v>-6.3173873271419444E-3</v>
      </c>
      <c r="DT26" s="272">
        <f t="shared" si="29"/>
        <v>40878</v>
      </c>
      <c r="DU26" s="89">
        <f t="shared" si="30"/>
        <v>1640.5968392883753</v>
      </c>
      <c r="DV26" s="29">
        <f t="shared" si="31"/>
        <v>9.9430111472022742E-2</v>
      </c>
      <c r="DW26" s="145">
        <f t="shared" si="32"/>
        <v>31.320485113687162</v>
      </c>
      <c r="DX26">
        <f t="shared" si="64"/>
        <v>100</v>
      </c>
      <c r="DY26">
        <f t="shared" si="65"/>
        <v>100</v>
      </c>
      <c r="DZ26">
        <f>IF(DW$21&gt;60,100,0)</f>
        <v>0</v>
      </c>
      <c r="EA26">
        <f t="shared" si="67"/>
        <v>200</v>
      </c>
      <c r="EB26" s="17">
        <f t="shared" si="57"/>
        <v>0.68437499999999996</v>
      </c>
      <c r="EC26" s="18">
        <f t="shared" si="58"/>
        <v>-500</v>
      </c>
      <c r="ED26" s="265">
        <f t="shared" si="59"/>
        <v>500.68437499999999</v>
      </c>
      <c r="EE26" s="265">
        <f t="shared" si="66"/>
        <v>32.921712328767121</v>
      </c>
      <c r="EF26" s="104">
        <f t="shared" si="60"/>
        <v>0.6</v>
      </c>
      <c r="EG26" s="264">
        <f t="shared" si="61"/>
        <v>29.869861931130021</v>
      </c>
      <c r="EI26" s="17">
        <f t="shared" si="62"/>
        <v>0</v>
      </c>
      <c r="EJ26" s="164">
        <f>FF$57</f>
        <v>983.57083849890751</v>
      </c>
      <c r="EK26" s="37">
        <f>FE$59</f>
        <v>0.26391395528320799</v>
      </c>
      <c r="EO26" s="2">
        <v>40878</v>
      </c>
      <c r="EP26" s="260">
        <v>43252</v>
      </c>
    </row>
    <row r="27" spans="1:163" ht="13" customHeight="1" x14ac:dyDescent="0.3">
      <c r="B27" s="413"/>
      <c r="C27" s="413"/>
      <c r="D27" s="413"/>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F27" s="425"/>
      <c r="AX27" s="243"/>
      <c r="AZ27" s="412">
        <f t="shared" si="33"/>
        <v>40892</v>
      </c>
      <c r="BA27" s="59" t="str">
        <f t="shared" si="0"/>
        <v/>
      </c>
      <c r="BB27" s="304" t="str">
        <f t="shared" si="34"/>
        <v/>
      </c>
      <c r="BC27" s="234" t="str">
        <f t="shared" si="1"/>
        <v/>
      </c>
      <c r="BD27" s="123" t="str">
        <f t="shared" si="35"/>
        <v/>
      </c>
      <c r="BE27" s="4" t="str">
        <f t="shared" si="2"/>
        <v/>
      </c>
      <c r="BF27" s="3" t="str">
        <f t="shared" si="3"/>
        <v/>
      </c>
      <c r="BL27" s="37"/>
      <c r="BN27" s="447"/>
      <c r="BO27" s="272">
        <f t="shared" si="36"/>
        <v>40892</v>
      </c>
      <c r="BP27" s="381">
        <f>IF($AZ$31="d",Colony!H54,IF($AZ$31="n",Colony!H82,IF($AZ$31="p",Colony!H110,IF($AZ$31="a",Colony!H138,IF($AZ$31="b",Colony!H166,IF($AZ$31="c",Colony!H194,IF($AZ$31="r",Colony!H222,IF($AZ$31="s",Colony!H250,IF($AZ$31="f",Colony!H278,"error")))))))))</f>
        <v>8</v>
      </c>
      <c r="BQ27">
        <f t="shared" si="4"/>
        <v>16000</v>
      </c>
      <c r="BR27" s="81">
        <f>IF($AZ$31="d",Colony!F54,IF($AZ$31="n",Colony!F82,IF($AZ$31="p",Colony!F110,IF($AZ$31="a",Colony!F138,IF($AZ$31="b",Colony!F166,IF($AZ$31="c",Colony!F194,IF($AZ$31="r",Colony!F222,IF($AZ$31="s",Colony!F250,IF($AZ$31="f",Colony!F278,"error")))))))))</f>
        <v>0</v>
      </c>
      <c r="BS27" s="17">
        <f t="shared" si="5"/>
        <v>1</v>
      </c>
      <c r="BT27" s="21">
        <f t="shared" si="6"/>
        <v>6.2500000000000001E-5</v>
      </c>
      <c r="BU27">
        <f t="shared" si="37"/>
        <v>0.6</v>
      </c>
      <c r="BV27" s="18">
        <f t="shared" si="38"/>
        <v>0</v>
      </c>
      <c r="BW27" s="18">
        <f t="shared" si="7"/>
        <v>0.05</v>
      </c>
      <c r="BX27" s="141">
        <f t="shared" si="39"/>
        <v>53.401720006109592</v>
      </c>
      <c r="BY27" s="27">
        <f t="shared" si="8"/>
        <v>65.401720006109599</v>
      </c>
      <c r="BZ27" s="32">
        <f t="shared" si="9"/>
        <v>1</v>
      </c>
      <c r="CA27" s="130">
        <f t="shared" si="10"/>
        <v>0</v>
      </c>
      <c r="CB27" s="28">
        <f t="shared" si="11"/>
        <v>0</v>
      </c>
      <c r="CC27" s="256">
        <f t="shared" si="12"/>
        <v>0.6</v>
      </c>
      <c r="CD27" s="80">
        <f>IF($AZ$31="d",Colony!J54,IF($AZ$31="n",Colony!J82,IF($AZ$31="p",Colony!J110,IF($AZ$31="a",Colony!J138,IF($AZ$31="b",Colony!J166,IF($AZ$31="c",Colony!J194,IF($AZ$31="r",Colony!J222,IF($AZ$31="s",Colony!J222,IF($AZ$31="f",Colony!J278,"error")))))))))</f>
        <v>0</v>
      </c>
      <c r="CE27" s="106">
        <f t="shared" si="40"/>
        <v>0</v>
      </c>
      <c r="CF27" s="75">
        <f t="shared" si="41"/>
        <v>0</v>
      </c>
      <c r="CG27" s="102">
        <f t="shared" si="42"/>
        <v>0</v>
      </c>
      <c r="CH27" s="72">
        <f t="shared" si="13"/>
        <v>0</v>
      </c>
      <c r="CI27" s="73">
        <f t="shared" si="43"/>
        <v>0</v>
      </c>
      <c r="CJ27" s="361">
        <f t="shared" si="44"/>
        <v>0</v>
      </c>
      <c r="CK27" s="362">
        <f t="shared" si="45"/>
        <v>0</v>
      </c>
      <c r="CL27" s="73">
        <f t="shared" si="14"/>
        <v>68.401720006109599</v>
      </c>
      <c r="CM27" s="360">
        <v>1</v>
      </c>
      <c r="CN27" s="84">
        <f t="shared" si="15"/>
        <v>4.2749999999999995</v>
      </c>
      <c r="CO27" s="78">
        <f t="shared" si="46"/>
        <v>9.8493837450082944E-2</v>
      </c>
      <c r="CP27" s="103">
        <f t="shared" si="47"/>
        <v>0</v>
      </c>
      <c r="CQ27" s="71">
        <f t="shared" si="48"/>
        <v>0.6</v>
      </c>
      <c r="CR27" s="71">
        <f t="shared" si="16"/>
        <v>0</v>
      </c>
      <c r="CS27" s="74">
        <f t="shared" si="17"/>
        <v>0</v>
      </c>
      <c r="CT27" s="358">
        <f t="shared" si="49"/>
        <v>0</v>
      </c>
      <c r="CU27" s="360">
        <f t="shared" si="50"/>
        <v>0</v>
      </c>
      <c r="CV27" s="76">
        <f t="shared" si="18"/>
        <v>1</v>
      </c>
      <c r="CW27" s="74">
        <f t="shared" si="19"/>
        <v>65.401720006109599</v>
      </c>
      <c r="CX27" s="359">
        <v>1</v>
      </c>
      <c r="CY27" s="83">
        <f t="shared" si="51"/>
        <v>2.2586249999999999</v>
      </c>
      <c r="CZ27" s="79">
        <f t="shared" si="20"/>
        <v>0</v>
      </c>
      <c r="DA27" s="112">
        <f t="shared" si="21"/>
        <v>0</v>
      </c>
      <c r="DB27" s="55">
        <f t="shared" si="22"/>
        <v>-5.0125418235442863E-3</v>
      </c>
      <c r="DC27" s="133">
        <f t="shared" si="23"/>
        <v>-5.0125418235442863E-3</v>
      </c>
      <c r="DD27" s="133"/>
      <c r="DE27" s="383">
        <f t="shared" si="68"/>
        <v>1490.3085361450385</v>
      </c>
      <c r="DF27" s="241">
        <f t="shared" si="24"/>
        <v>1043.2159753015269</v>
      </c>
      <c r="DG27" s="241">
        <f t="shared" si="69"/>
        <v>767.89672104507156</v>
      </c>
      <c r="DH27" s="148">
        <f>DG27*EXP(DA27*$BP$36)-DG27</f>
        <v>0</v>
      </c>
      <c r="DI27" s="17">
        <f t="shared" si="53"/>
        <v>1490.3085361450385</v>
      </c>
      <c r="DJ27" s="267">
        <f t="shared" si="54"/>
        <v>109.38740496761784</v>
      </c>
      <c r="DK27" s="135">
        <f t="shared" si="25"/>
        <v>1380.9211311774206</v>
      </c>
      <c r="DL27" s="245">
        <f>Colony!AD27</f>
        <v>0</v>
      </c>
      <c r="DM27" s="137">
        <f t="shared" si="55"/>
        <v>-27.981532424135381</v>
      </c>
      <c r="DN27" s="98">
        <f t="shared" si="63"/>
        <v>-27.981532424135381</v>
      </c>
      <c r="DO27" s="266">
        <f t="shared" si="26"/>
        <v>1352.9395987532853</v>
      </c>
      <c r="DP27" s="399">
        <f>FG$32</f>
        <v>0</v>
      </c>
      <c r="DQ27" s="135">
        <f t="shared" si="56"/>
        <v>0</v>
      </c>
      <c r="DR27" s="95">
        <f t="shared" si="27"/>
        <v>1352.9395987532853</v>
      </c>
      <c r="DS27" s="29">
        <f t="shared" si="28"/>
        <v>-6.3585839359549387E-3</v>
      </c>
      <c r="DT27" s="272">
        <f t="shared" si="29"/>
        <v>40892</v>
      </c>
      <c r="DU27" s="89">
        <f t="shared" si="30"/>
        <v>1490.3085361450385</v>
      </c>
      <c r="DV27" s="29">
        <f t="shared" si="31"/>
        <v>9.314428350906491E-2</v>
      </c>
      <c r="DW27" s="145">
        <f t="shared" si="32"/>
        <v>29.340449305355445</v>
      </c>
      <c r="DX27">
        <f t="shared" si="64"/>
        <v>100</v>
      </c>
      <c r="DY27">
        <f t="shared" si="65"/>
        <v>100</v>
      </c>
      <c r="DZ27">
        <f>IF(DW$21&gt;60,100,0)</f>
        <v>0</v>
      </c>
      <c r="EA27">
        <f t="shared" si="67"/>
        <v>200</v>
      </c>
      <c r="EB27" s="17">
        <f t="shared" si="57"/>
        <v>0.68437499999999996</v>
      </c>
      <c r="EC27" s="18">
        <f t="shared" si="58"/>
        <v>-500</v>
      </c>
      <c r="ED27" s="265">
        <f t="shared" si="59"/>
        <v>500.68437499999999</v>
      </c>
      <c r="EE27" s="265">
        <f t="shared" si="66"/>
        <v>32.921712328767121</v>
      </c>
      <c r="EF27" s="104">
        <f t="shared" si="60"/>
        <v>0.6</v>
      </c>
      <c r="EG27" s="264">
        <f t="shared" si="61"/>
        <v>27.981532424135381</v>
      </c>
      <c r="EI27" s="17">
        <f t="shared" si="62"/>
        <v>0</v>
      </c>
      <c r="EJ27" s="164">
        <f>FG$57</f>
        <v>1415.0080772760057</v>
      </c>
      <c r="EK27" s="37">
        <f>FF$59</f>
        <v>0.45916338984640742</v>
      </c>
      <c r="EO27" s="2">
        <v>40892</v>
      </c>
      <c r="EP27" s="260">
        <v>43266</v>
      </c>
      <c r="ES27">
        <v>11.025</v>
      </c>
    </row>
    <row r="28" spans="1:163" ht="12.75" customHeight="1" x14ac:dyDescent="0.3">
      <c r="B28" s="413"/>
      <c r="C28" s="413"/>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F28" s="425"/>
      <c r="AG28" s="244"/>
      <c r="AI28" s="159"/>
      <c r="AJ28" s="159"/>
      <c r="AK28" s="159"/>
      <c r="AL28" s="159"/>
      <c r="AM28" s="159"/>
      <c r="AN28" s="159"/>
      <c r="AO28" s="159"/>
      <c r="AP28" s="159"/>
      <c r="AQ28" s="159"/>
      <c r="AR28" s="159"/>
      <c r="AS28" s="159"/>
      <c r="AT28" s="159"/>
      <c r="AU28" s="159"/>
      <c r="AV28" s="159"/>
      <c r="AW28" s="159"/>
      <c r="AX28" s="159"/>
      <c r="AZ28" s="412">
        <f t="shared" si="33"/>
        <v>40908</v>
      </c>
      <c r="BA28" s="59" t="str">
        <f>IF(EA27&gt;0,"",DE28)</f>
        <v/>
      </c>
      <c r="BB28" s="304" t="str">
        <f>IF(EA28&gt;0,"",DS28)</f>
        <v/>
      </c>
      <c r="BC28" s="234" t="str">
        <f t="shared" si="1"/>
        <v/>
      </c>
      <c r="BD28" s="123" t="str">
        <f>IF(EA28&gt;0,"",DW28)</f>
        <v/>
      </c>
      <c r="BE28" s="4" t="str">
        <f t="shared" si="2"/>
        <v/>
      </c>
      <c r="BF28" s="3" t="str">
        <f t="shared" si="3"/>
        <v/>
      </c>
      <c r="BI28" s="64"/>
      <c r="BJ28" s="64"/>
      <c r="BK28" s="91"/>
      <c r="BL28" s="91"/>
      <c r="BO28" s="272">
        <f t="shared" si="36"/>
        <v>40908</v>
      </c>
      <c r="BP28" s="381">
        <f>IF($AZ$31="d",Colony!H55,IF($AZ$31="n",Colony!H83,IF($AZ$31="p",Colony!H111,IF($AZ$31="a",Colony!H139,IF($AZ$31="b",Colony!H167,IF($AZ$31="c",Colony!H195,IF($AZ$31="r",Colony!H223,IF($AZ$31="s",Colony!H251,IF($AZ$31="f",Colony!H279,"error")))))))))</f>
        <v>8</v>
      </c>
      <c r="BQ28">
        <f>BP28*$BP$44</f>
        <v>16000</v>
      </c>
      <c r="BR28" s="81">
        <f>IF($AZ$31="d",Colony!F55,IF($AZ$31="n",Colony!F83,IF($AZ$31="p",Colony!F111,IF($AZ$31="a",Colony!F139,IF($AZ$31="b",Colony!F167,IF($AZ$31="c",Colony!F195,IF($AZ$31="r",Colony!F223,IF($AZ$31="s",Colony!F251,IF($AZ$31="f",Colony!F279,"error")))))))))</f>
        <v>0</v>
      </c>
      <c r="BS28" s="17">
        <f>IF(BR28=0,1,$BP$43*BR28)</f>
        <v>1</v>
      </c>
      <c r="BT28" s="21">
        <f>IF(BQ28=0,0,BS28/BQ28)</f>
        <v>6.2500000000000001E-5</v>
      </c>
      <c r="BU28">
        <f>BS28*12/20</f>
        <v>0.6</v>
      </c>
      <c r="BV28" s="18">
        <f>CT28*BU28</f>
        <v>0</v>
      </c>
      <c r="BW28" s="18">
        <f>BS28/20</f>
        <v>0.05</v>
      </c>
      <c r="BX28" s="141">
        <f>IF(BT28=0,0.001,(-$BP$42*LN(BT28))+$BP$41)</f>
        <v>53.401720006109592</v>
      </c>
      <c r="BY28" s="27">
        <f>BX28+12</f>
        <v>65.401720006109599</v>
      </c>
      <c r="BZ28" s="32">
        <f>IF(BR28=0,1,BX28/BY28)</f>
        <v>1</v>
      </c>
      <c r="CA28" s="130">
        <f>1-BZ28</f>
        <v>0</v>
      </c>
      <c r="CB28" s="28">
        <f t="shared" si="11"/>
        <v>0</v>
      </c>
      <c r="CC28" s="256">
        <f>0.6*BS28</f>
        <v>0.6</v>
      </c>
      <c r="CD28" s="80">
        <f>IF($AZ$31="d",Colony!J55,IF($AZ$31="n",Colony!J83,IF($AZ$31="p",Colony!J111,IF($AZ$31="a",Colony!I139,IF($AZ$31="b",Colony!J167,IF($AZ$31="c",Colony!J195,IF($AZ$31="r",Colony!J223,IF($AZ$31="s",Colony!J223,IF($AZ$31="f",Colony!J279,"error")))))))))</f>
        <v>0</v>
      </c>
      <c r="CE28" s="106">
        <f t="shared" si="40"/>
        <v>0</v>
      </c>
      <c r="CF28" s="75">
        <f t="shared" si="41"/>
        <v>0</v>
      </c>
      <c r="CG28" s="102">
        <f>CF28*CA28</f>
        <v>0</v>
      </c>
      <c r="CH28" s="72">
        <f>CF28*CB28</f>
        <v>0</v>
      </c>
      <c r="CI28" s="73">
        <f>IF(CE28=0,0,CH28/(CC28*CE28))</f>
        <v>0</v>
      </c>
      <c r="CJ28" s="361">
        <f t="shared" si="44"/>
        <v>0</v>
      </c>
      <c r="CK28" s="362">
        <f>IF(CJ28=0,0,CI28/CJ28)</f>
        <v>0</v>
      </c>
      <c r="CL28" s="73">
        <f>BX28+15</f>
        <v>68.401720006109599</v>
      </c>
      <c r="CM28" s="360">
        <v>1</v>
      </c>
      <c r="CN28" s="84">
        <f>(1+($BP$31*CM28))*$BP$46</f>
        <v>4.2749999999999995</v>
      </c>
      <c r="CO28" s="78">
        <f>LN(CN28)/14.75</f>
        <v>9.8493837450082944E-2</v>
      </c>
      <c r="CP28" s="103">
        <f>1-BZ28-CG28</f>
        <v>0</v>
      </c>
      <c r="CQ28" s="71">
        <f>(1-CE28)*CC28</f>
        <v>0.6</v>
      </c>
      <c r="CR28" s="71">
        <f>CB28-CH28</f>
        <v>0</v>
      </c>
      <c r="CS28" s="74">
        <f>CR28/CQ28</f>
        <v>0</v>
      </c>
      <c r="CT28" s="358">
        <f t="shared" si="49"/>
        <v>0</v>
      </c>
      <c r="CU28" s="360">
        <f t="shared" si="50"/>
        <v>0</v>
      </c>
      <c r="CV28" s="76">
        <f t="shared" si="18"/>
        <v>1</v>
      </c>
      <c r="CW28" s="74">
        <f t="shared" si="19"/>
        <v>65.401720006109599</v>
      </c>
      <c r="CX28" s="359">
        <v>1</v>
      </c>
      <c r="CY28" s="83">
        <f t="shared" si="51"/>
        <v>2.2586249999999999</v>
      </c>
      <c r="CZ28" s="79">
        <f t="shared" si="20"/>
        <v>0</v>
      </c>
      <c r="DA28" s="112">
        <f t="shared" si="21"/>
        <v>0</v>
      </c>
      <c r="DB28" s="55">
        <f t="shared" si="22"/>
        <v>-5.0125418235442863E-3</v>
      </c>
      <c r="DC28" s="133">
        <f>DA28+DB28</f>
        <v>-5.0125418235442863E-3</v>
      </c>
      <c r="DD28" s="133"/>
      <c r="DE28" s="383">
        <f t="shared" si="68"/>
        <v>1352.9395987532853</v>
      </c>
      <c r="DF28" s="241">
        <f>DE28*$BP$30</f>
        <v>947.05771912729961</v>
      </c>
      <c r="DG28" s="241">
        <f t="shared" si="69"/>
        <v>512.20348643260195</v>
      </c>
      <c r="DH28" s="148">
        <f>DG28*EXP(DA28*$BP$36)-DG28</f>
        <v>0</v>
      </c>
      <c r="DI28" s="17">
        <f>DE28+DH28</f>
        <v>1352.9395987532853</v>
      </c>
      <c r="DJ28" s="267">
        <f>DI28-DK28</f>
        <v>99.304639405990201</v>
      </c>
      <c r="DK28" s="135">
        <f t="shared" si="25"/>
        <v>1253.6349593472951</v>
      </c>
      <c r="DL28" s="245">
        <f>Colony!AD28</f>
        <v>0</v>
      </c>
      <c r="DM28" s="137">
        <f>IF(EG28&gt;DU28*EF28,-DU28*EF28,-EG28)</f>
        <v>-3.4721926421129236E-2</v>
      </c>
      <c r="DN28" s="98">
        <f>DL28+DM28</f>
        <v>-3.4721926421129236E-2</v>
      </c>
      <c r="DO28" s="266">
        <f t="shared" si="26"/>
        <v>1253.600237420874</v>
      </c>
      <c r="DP28" s="399"/>
      <c r="DQ28" s="135"/>
      <c r="DR28" s="95">
        <f>DO28-DQ28</f>
        <v>1253.600237420874</v>
      </c>
      <c r="DS28" s="29">
        <f t="shared" si="28"/>
        <v>-5.0143630213130364E-3</v>
      </c>
      <c r="DT28" s="272">
        <f t="shared" si="29"/>
        <v>40908</v>
      </c>
      <c r="DU28" s="89">
        <f t="shared" si="30"/>
        <v>1352.9395987532853</v>
      </c>
      <c r="DV28" s="29">
        <f t="shared" si="31"/>
        <v>8.4558724922080331E-2</v>
      </c>
      <c r="DW28" s="145">
        <f>DV28*315</f>
        <v>26.635998350455303</v>
      </c>
      <c r="DX28">
        <f t="shared" si="64"/>
        <v>100</v>
      </c>
      <c r="DY28">
        <f t="shared" si="65"/>
        <v>100</v>
      </c>
      <c r="DZ28">
        <f>IF(DW$21&gt;60,100,0)</f>
        <v>0</v>
      </c>
      <c r="EA28">
        <f t="shared" si="67"/>
        <v>200</v>
      </c>
      <c r="EB28" s="17">
        <f t="shared" si="57"/>
        <v>0.68437499999999996</v>
      </c>
      <c r="EC28" s="18">
        <f t="shared" si="58"/>
        <v>0</v>
      </c>
      <c r="ED28" s="265">
        <f>EB28-EC28</f>
        <v>0.68437499999999996</v>
      </c>
      <c r="EE28" s="265">
        <f t="shared" si="66"/>
        <v>4.4999999999999998E-2</v>
      </c>
      <c r="EF28" s="104">
        <f>IF(DV28&gt;0.15,1,$BP$35)</f>
        <v>0.6</v>
      </c>
      <c r="EG28" s="264">
        <f>ED28*EF28*DV28</f>
        <v>3.4721926421129236E-2</v>
      </c>
      <c r="EI28" s="17">
        <f t="shared" si="62"/>
        <v>0</v>
      </c>
      <c r="EJ28" s="164">
        <f>FG$57</f>
        <v>1415.0080772760057</v>
      </c>
      <c r="EK28" s="37">
        <f>FF$59</f>
        <v>0.45916338984640742</v>
      </c>
      <c r="EM28" s="18"/>
      <c r="EN28" s="18"/>
      <c r="EO28" s="2">
        <v>40908</v>
      </c>
      <c r="EP28" s="260">
        <v>43281</v>
      </c>
    </row>
    <row r="29" spans="1:163" ht="13" customHeight="1" x14ac:dyDescent="0.3">
      <c r="AF29" s="426"/>
      <c r="AI29" s="317"/>
      <c r="AJ29" s="317"/>
      <c r="AK29" s="317"/>
      <c r="AL29" s="317"/>
      <c r="AM29" s="317"/>
      <c r="AN29" s="317"/>
      <c r="AO29" s="317"/>
      <c r="AP29" s="317"/>
      <c r="AQ29" s="317"/>
      <c r="AR29" s="317"/>
      <c r="AS29" s="317"/>
      <c r="AT29" s="317"/>
      <c r="AU29" s="317"/>
      <c r="AV29" s="317"/>
      <c r="AW29" s="317"/>
      <c r="AX29" s="317"/>
      <c r="AY29" s="353"/>
      <c r="AZ29" s="318" t="s">
        <v>308</v>
      </c>
      <c r="BA29" s="320">
        <f>MAX(BA4:BA28)</f>
        <v>4593.5935010394842</v>
      </c>
      <c r="BB29" s="319" t="s">
        <v>306</v>
      </c>
      <c r="BC29" s="316">
        <f>SUM(BC4:BC28)</f>
        <v>1970</v>
      </c>
      <c r="BD29" s="307"/>
      <c r="BE29" s="307"/>
      <c r="BF29" s="307"/>
      <c r="BG29" s="307"/>
      <c r="BH29" s="307"/>
      <c r="BI29" s="307"/>
      <c r="BJ29" s="242"/>
      <c r="BK29" s="242"/>
      <c r="BL29" s="242"/>
      <c r="BM29" s="242"/>
      <c r="BN29" s="460" t="s">
        <v>18</v>
      </c>
      <c r="BO29" s="323">
        <f>AG40</f>
        <v>1.45</v>
      </c>
      <c r="BP29" s="170">
        <f>IF($AG$38="custom",AH40*(1-$BP$39),IF($AG$38="",BO29*(1-AG49),"error"))</f>
        <v>1.3774999999999999</v>
      </c>
      <c r="BQ29" s="371" t="s">
        <v>130</v>
      </c>
      <c r="BW29" s="5"/>
      <c r="BX29" s="27"/>
      <c r="BY29" s="256">
        <f>BX29+12</f>
        <v>12</v>
      </c>
      <c r="CF29"/>
      <c r="CL29" s="73">
        <f>BX29+15</f>
        <v>15</v>
      </c>
      <c r="CS29" s="256" t="s">
        <v>141</v>
      </c>
      <c r="CT29" s="37">
        <f>MAX(CT4:CT28)</f>
        <v>0.53495666421860677</v>
      </c>
      <c r="CU29" s="104"/>
      <c r="CY29" s="256"/>
      <c r="DL29" s="246">
        <f>SUM(DL4:DL27)</f>
        <v>2000</v>
      </c>
      <c r="DM29" s="35">
        <f>SUM(DM5:DM28)</f>
        <v>-3168.6858539585373</v>
      </c>
      <c r="DN29" s="98">
        <f>DL29+DM29</f>
        <v>-1168.6858539585373</v>
      </c>
      <c r="EK29">
        <v>4</v>
      </c>
      <c r="EL29">
        <v>5</v>
      </c>
      <c r="EM29">
        <v>6</v>
      </c>
      <c r="EN29">
        <v>7</v>
      </c>
      <c r="EO29">
        <v>8</v>
      </c>
      <c r="EP29">
        <v>9</v>
      </c>
      <c r="EQ29">
        <v>10</v>
      </c>
      <c r="ER29">
        <v>11</v>
      </c>
      <c r="ES29">
        <v>12</v>
      </c>
      <c r="ET29">
        <v>13</v>
      </c>
      <c r="EU29">
        <v>14</v>
      </c>
      <c r="EV29">
        <v>15</v>
      </c>
      <c r="EW29">
        <v>16</v>
      </c>
      <c r="EX29">
        <v>17</v>
      </c>
      <c r="EY29">
        <v>18</v>
      </c>
      <c r="EZ29">
        <v>19</v>
      </c>
      <c r="FA29">
        <v>20</v>
      </c>
      <c r="FB29">
        <v>21</v>
      </c>
      <c r="FC29">
        <v>22</v>
      </c>
      <c r="FD29">
        <v>23</v>
      </c>
      <c r="FE29">
        <v>24</v>
      </c>
      <c r="FF29">
        <v>25</v>
      </c>
      <c r="FG29">
        <v>26</v>
      </c>
    </row>
    <row r="30" spans="1:163" ht="13" customHeight="1" x14ac:dyDescent="0.3">
      <c r="B30" s="507" t="s">
        <v>351</v>
      </c>
      <c r="C30" s="507"/>
      <c r="D30" s="507"/>
      <c r="E30" s="507"/>
      <c r="F30" s="507"/>
      <c r="G30" s="507"/>
      <c r="H30" s="507"/>
      <c r="I30" s="507"/>
      <c r="J30" s="507"/>
      <c r="K30" s="507"/>
      <c r="L30" s="507"/>
      <c r="M30" s="507"/>
      <c r="AF30" s="426"/>
      <c r="AG30" s="12"/>
      <c r="AH30" s="317"/>
      <c r="AI30" s="317"/>
      <c r="AJ30" s="317"/>
      <c r="AK30" s="317"/>
      <c r="AL30" s="317"/>
      <c r="AM30" s="317"/>
      <c r="AN30" s="317"/>
      <c r="AO30" s="317"/>
      <c r="AP30" s="317"/>
      <c r="AQ30" s="317"/>
      <c r="AR30" s="317"/>
      <c r="AS30" s="317"/>
      <c r="AT30" s="317"/>
      <c r="AU30" s="317"/>
      <c r="AV30" s="317"/>
      <c r="AW30" s="317"/>
      <c r="AX30" s="317"/>
      <c r="AY30" s="317"/>
      <c r="AZ30" s="317"/>
      <c r="BA30" s="64"/>
      <c r="BB30" s="301"/>
      <c r="BC30" s="64"/>
      <c r="BD30" s="64"/>
      <c r="BE30" s="64"/>
      <c r="BF30" s="64"/>
      <c r="BG30" s="64"/>
      <c r="BH30" s="64"/>
      <c r="BI30" s="64"/>
      <c r="BL30" s="11"/>
      <c r="BN30" s="460"/>
      <c r="BO30" s="323">
        <f t="shared" ref="BO30:BO35" si="71">AG41</f>
        <v>0.7</v>
      </c>
      <c r="BP30" s="61">
        <f t="shared" ref="BP30:BP35" si="72">IF($AG$38="custom",AH41,IF($AG$38="",BO30,"error"))</f>
        <v>0.7</v>
      </c>
      <c r="BQ30" s="371" t="s">
        <v>229</v>
      </c>
      <c r="BX30" s="5"/>
      <c r="BY30" s="92">
        <f>(1+(BP29*BP30))</f>
        <v>1.9642499999999998</v>
      </c>
      <c r="BZ30" s="379" t="s">
        <v>129</v>
      </c>
      <c r="CA30"/>
      <c r="CB30"/>
      <c r="CY30" s="379"/>
      <c r="EI30" t="s">
        <v>186</v>
      </c>
      <c r="EJ30" s="17">
        <f>BS4</f>
        <v>1</v>
      </c>
      <c r="EK30" s="17">
        <f>BS5</f>
        <v>1125</v>
      </c>
      <c r="EL30" s="17">
        <f>BS6</f>
        <v>1485</v>
      </c>
      <c r="EM30" s="17">
        <f>BS7</f>
        <v>3375</v>
      </c>
      <c r="EN30" s="17">
        <f>BS8</f>
        <v>4500</v>
      </c>
      <c r="EO30" s="17">
        <f>BS9</f>
        <v>9000</v>
      </c>
      <c r="EP30" s="17">
        <f>BS10</f>
        <v>13500</v>
      </c>
      <c r="EQ30" s="17">
        <f>BS11</f>
        <v>22500</v>
      </c>
      <c r="ER30" s="17">
        <f>BS12</f>
        <v>27000</v>
      </c>
      <c r="ES30" s="17">
        <f>BS13</f>
        <v>29250</v>
      </c>
      <c r="ET30" s="17">
        <f>BS14</f>
        <v>31500</v>
      </c>
      <c r="EU30" s="17">
        <f>BS15</f>
        <v>29250</v>
      </c>
      <c r="EV30" s="17">
        <f>BS16</f>
        <v>27000</v>
      </c>
      <c r="EW30" s="17">
        <f>BS17</f>
        <v>22500</v>
      </c>
      <c r="EX30" s="17">
        <f>BS18</f>
        <v>20250</v>
      </c>
      <c r="EY30" s="17">
        <f>BS19</f>
        <v>18000</v>
      </c>
      <c r="EZ30" s="17">
        <f>BS20</f>
        <v>15750</v>
      </c>
      <c r="FA30" s="17">
        <f>BS21</f>
        <v>18000</v>
      </c>
      <c r="FB30" s="17">
        <f>BS22</f>
        <v>9000</v>
      </c>
      <c r="FC30" s="17">
        <f>BS23</f>
        <v>2250</v>
      </c>
      <c r="FD30" s="17">
        <f>BS24</f>
        <v>1</v>
      </c>
      <c r="FE30" s="17">
        <f>BS25</f>
        <v>1</v>
      </c>
      <c r="FF30" s="17">
        <f>BS26</f>
        <v>1</v>
      </c>
      <c r="FG30" s="17">
        <f>BS27</f>
        <v>1</v>
      </c>
    </row>
    <row r="31" spans="1:163" ht="13" x14ac:dyDescent="0.25">
      <c r="B31" s="495" t="str">
        <f>Colony!B30</f>
        <v>D: Default colony in temperate climate, managed to prevent swarming (slight fall brood buildup)</v>
      </c>
      <c r="C31" s="495"/>
      <c r="D31" s="495"/>
      <c r="E31" s="495"/>
      <c r="F31" s="495"/>
      <c r="G31" s="495"/>
      <c r="H31" s="495"/>
      <c r="I31" s="495"/>
      <c r="J31" s="495"/>
      <c r="K31" s="495"/>
      <c r="L31" s="495"/>
      <c r="M31" s="495"/>
      <c r="AF31" s="426"/>
      <c r="AM31" s="392"/>
      <c r="AN31" s="392"/>
      <c r="AO31" s="392"/>
      <c r="AP31" s="392"/>
      <c r="AQ31" s="392"/>
      <c r="AR31" s="392"/>
      <c r="AS31" s="392"/>
      <c r="AT31" s="392"/>
      <c r="AU31" s="392"/>
      <c r="AV31" s="392"/>
      <c r="AW31" s="392"/>
      <c r="AX31" s="392"/>
      <c r="AY31" s="392"/>
      <c r="AZ31" s="429" t="str">
        <f>C21</f>
        <v>d</v>
      </c>
      <c r="BA31" s="400" t="s">
        <v>363</v>
      </c>
      <c r="BB31" s="392"/>
      <c r="BC31" s="392"/>
      <c r="BD31" s="392"/>
      <c r="BG31" s="461"/>
      <c r="BH31" s="461"/>
      <c r="BI31" s="461"/>
      <c r="BJ31" s="461"/>
      <c r="BK31" s="461"/>
      <c r="BL31" s="461"/>
      <c r="BM31" s="461"/>
      <c r="BN31" s="460" t="s">
        <v>19</v>
      </c>
      <c r="BO31" s="323">
        <f t="shared" si="71"/>
        <v>3.5</v>
      </c>
      <c r="BP31" s="170">
        <f t="shared" si="72"/>
        <v>3.5</v>
      </c>
      <c r="BQ31" s="371" t="s">
        <v>118</v>
      </c>
      <c r="BY31">
        <f>LN(BY30)</f>
        <v>0.67511049307379378</v>
      </c>
      <c r="BZ31" s="379" t="s">
        <v>128</v>
      </c>
      <c r="CA31"/>
      <c r="CB31"/>
      <c r="CC31"/>
      <c r="CD31" s="37"/>
      <c r="CE31" s="37"/>
      <c r="CH31" s="379"/>
      <c r="CN31" s="37"/>
      <c r="CX31" s="10"/>
      <c r="CY31" s="13"/>
      <c r="DH31" s="17"/>
      <c r="DV31" s="68"/>
      <c r="EI31" s="168" t="s">
        <v>184</v>
      </c>
      <c r="EJ31" s="2">
        <v>40544</v>
      </c>
      <c r="EK31" s="2">
        <v>40558</v>
      </c>
      <c r="EL31" s="2">
        <v>40575</v>
      </c>
      <c r="EM31" s="2">
        <v>40589</v>
      </c>
      <c r="EN31" s="2">
        <v>40603</v>
      </c>
      <c r="EO31" s="2">
        <v>40617</v>
      </c>
      <c r="EP31" s="2">
        <v>40634</v>
      </c>
      <c r="EQ31" s="2">
        <v>40648</v>
      </c>
      <c r="ER31" s="2">
        <v>40664</v>
      </c>
      <c r="ES31" s="2">
        <v>40678</v>
      </c>
      <c r="ET31" s="2">
        <v>40695</v>
      </c>
      <c r="EU31" s="2">
        <v>40709</v>
      </c>
      <c r="EV31" s="2">
        <v>40725</v>
      </c>
      <c r="EW31" s="2">
        <v>40739</v>
      </c>
      <c r="EX31" s="2">
        <v>40756</v>
      </c>
      <c r="EY31" s="2">
        <v>40770</v>
      </c>
      <c r="EZ31" s="2">
        <v>40787</v>
      </c>
      <c r="FA31" s="2">
        <v>40801</v>
      </c>
      <c r="FB31" s="2">
        <v>40817</v>
      </c>
      <c r="FC31" s="2">
        <v>40831</v>
      </c>
      <c r="FD31" s="2">
        <v>40848</v>
      </c>
      <c r="FE31" s="2">
        <v>40862</v>
      </c>
      <c r="FF31" s="2">
        <v>40878</v>
      </c>
      <c r="FG31" s="2">
        <v>40892</v>
      </c>
    </row>
    <row r="32" spans="1:163" ht="13" x14ac:dyDescent="0.3">
      <c r="B32" s="495"/>
      <c r="C32" s="495"/>
      <c r="D32" s="495"/>
      <c r="E32" s="495"/>
      <c r="F32" s="495"/>
      <c r="G32" s="495"/>
      <c r="H32" s="495"/>
      <c r="I32" s="495"/>
      <c r="J32" s="495"/>
      <c r="K32" s="495"/>
      <c r="L32" s="495"/>
      <c r="M32" s="495"/>
      <c r="AF32" s="426"/>
      <c r="AG32" s="12"/>
      <c r="AZ32" s="435">
        <f>C22</f>
        <v>50</v>
      </c>
      <c r="BA32" s="430" t="s">
        <v>365</v>
      </c>
      <c r="BB32" s="126"/>
      <c r="BC32" s="126"/>
      <c r="BD32" s="126"/>
      <c r="BF32" s="161"/>
      <c r="BN32" s="460"/>
      <c r="BO32" s="323">
        <f t="shared" si="71"/>
        <v>0.7</v>
      </c>
      <c r="BP32" s="61">
        <f t="shared" si="72"/>
        <v>0.7</v>
      </c>
      <c r="BQ32" s="371" t="s">
        <v>230</v>
      </c>
      <c r="BV32">
        <f>LN(1885/1160)/23</f>
        <v>2.1109035468769601E-2</v>
      </c>
      <c r="BY32" s="92">
        <f>(LN(1+(BP29*BP30)))/12</f>
        <v>5.6259207756149482E-2</v>
      </c>
      <c r="BZ32" t="s">
        <v>124</v>
      </c>
      <c r="CA32"/>
      <c r="CB32"/>
      <c r="CC32"/>
      <c r="CD32" s="37"/>
      <c r="CE32" s="37"/>
      <c r="CF32"/>
      <c r="CJ32" s="10"/>
      <c r="CX32" s="256"/>
      <c r="CY32" s="379"/>
      <c r="DV32" s="68"/>
      <c r="EI32" s="256" t="s">
        <v>180</v>
      </c>
      <c r="EJ32" s="205">
        <f>'Current version'!C20</f>
        <v>0</v>
      </c>
      <c r="EK32" s="205">
        <f>'Current version'!D20</f>
        <v>0</v>
      </c>
      <c r="EL32" s="205">
        <f>'Current version'!E20</f>
        <v>0</v>
      </c>
      <c r="EM32" s="205">
        <f>'Current version'!F20</f>
        <v>0</v>
      </c>
      <c r="EN32" s="205">
        <f>'Current version'!G20</f>
        <v>0</v>
      </c>
      <c r="EO32" s="205">
        <f>'Current version'!H20</f>
        <v>0</v>
      </c>
      <c r="EP32" s="205">
        <f>'Current version'!I20</f>
        <v>0</v>
      </c>
      <c r="EQ32" s="205">
        <f>'Current version'!J20</f>
        <v>0</v>
      </c>
      <c r="ER32" s="205">
        <f>'Current version'!K20</f>
        <v>0</v>
      </c>
      <c r="ES32" s="205">
        <f>'Current version'!L20</f>
        <v>0</v>
      </c>
      <c r="ET32" s="205">
        <f>'Current version'!M20</f>
        <v>0</v>
      </c>
      <c r="EU32" s="205">
        <f>'Current version'!N20</f>
        <v>0</v>
      </c>
      <c r="EV32" s="205">
        <f>'Current version'!O20</f>
        <v>0</v>
      </c>
      <c r="EW32" s="205">
        <f>'Current version'!P20</f>
        <v>0</v>
      </c>
      <c r="EX32" s="205">
        <f>'Current version'!Q20</f>
        <v>0</v>
      </c>
      <c r="EY32" s="205">
        <f>'Current version'!R20</f>
        <v>0.9</v>
      </c>
      <c r="EZ32" s="205">
        <f>'Current version'!S20</f>
        <v>0</v>
      </c>
      <c r="FA32" s="205">
        <f>'Current version'!T20</f>
        <v>0</v>
      </c>
      <c r="FB32" s="205">
        <f>'Current version'!U20</f>
        <v>0</v>
      </c>
      <c r="FC32" s="205">
        <f>'Current version'!V20</f>
        <v>0</v>
      </c>
      <c r="FD32" s="205">
        <f>'Current version'!W20</f>
        <v>0</v>
      </c>
      <c r="FE32" s="205">
        <f>'Current version'!X20</f>
        <v>0</v>
      </c>
      <c r="FF32" s="205">
        <f>'Current version'!Y20</f>
        <v>0</v>
      </c>
      <c r="FG32" s="205">
        <f>'Current version'!Z20</f>
        <v>0</v>
      </c>
    </row>
    <row r="33" spans="2:163" ht="13" x14ac:dyDescent="0.3">
      <c r="B33" s="495" t="str">
        <f>Colony!B58</f>
        <v>N: Nucleus colony, 5 frames of bees, 3 frames of brood, started 1 April</v>
      </c>
      <c r="C33" s="495"/>
      <c r="D33" s="495"/>
      <c r="E33" s="495"/>
      <c r="F33" s="495"/>
      <c r="G33" s="495"/>
      <c r="H33" s="495"/>
      <c r="I33" s="495"/>
      <c r="J33" s="495"/>
      <c r="K33" s="495"/>
      <c r="L33" s="495"/>
      <c r="M33" s="495"/>
      <c r="AF33" s="401"/>
      <c r="AZ33" s="435">
        <f>C23</f>
        <v>4</v>
      </c>
      <c r="BA33" s="6" t="s">
        <v>364</v>
      </c>
      <c r="BB33"/>
      <c r="BO33" s="364">
        <f t="shared" si="71"/>
        <v>5.0000000000000001E-3</v>
      </c>
      <c r="BP33" s="61">
        <f t="shared" si="72"/>
        <v>5.0000000000000001E-3</v>
      </c>
      <c r="BQ33" s="371" t="s">
        <v>332</v>
      </c>
      <c r="BV33">
        <f>1160*EXP(BV32*45)</f>
        <v>2999.1430600487124</v>
      </c>
      <c r="BY33" s="92">
        <f>12/17*BY32+5/17*BV37</f>
        <v>3.823810493859249E-2</v>
      </c>
      <c r="BZ33" s="256" t="s">
        <v>123</v>
      </c>
      <c r="CA33"/>
      <c r="CB33"/>
      <c r="CC33"/>
      <c r="CD33" s="37"/>
      <c r="CE33" s="37"/>
      <c r="CH33" s="54"/>
      <c r="CI33" s="54"/>
      <c r="CJ33" s="55"/>
      <c r="CR33" s="14"/>
      <c r="CS33" s="15"/>
      <c r="CT33" s="15"/>
      <c r="CU33" s="15"/>
      <c r="CV33" s="15"/>
      <c r="CW33" s="371"/>
      <c r="CX33" s="256"/>
      <c r="CY33" s="379"/>
      <c r="DE33" s="17"/>
      <c r="DF33" s="17"/>
      <c r="DG33" s="17"/>
      <c r="DH33" s="17"/>
      <c r="DI33" s="17"/>
      <c r="DJ33" s="17"/>
      <c r="DK33" s="17"/>
      <c r="DL33" s="31"/>
      <c r="EI33" s="273">
        <f t="shared" ref="EI33:EI56" si="73">AZ4</f>
        <v>40544</v>
      </c>
      <c r="EJ33" s="162">
        <f>DE4</f>
        <v>50</v>
      </c>
      <c r="EK33" s="17">
        <f>EJ33*(1-EJ$32)*EXP($BV$38*15)</f>
        <v>45.684173296019729</v>
      </c>
      <c r="EL33" s="17">
        <f t="shared" ref="EL33:FA48" si="74">EK33*(1-EK$32)*EXP($BV$38*15)</f>
        <v>41.740873794815244</v>
      </c>
      <c r="EM33" s="17">
        <f t="shared" si="74"/>
        <v>38.137946239392569</v>
      </c>
      <c r="EN33" s="17">
        <f t="shared" si="74"/>
        <v>34.846010903093884</v>
      </c>
      <c r="EO33" s="164">
        <f t="shared" si="74"/>
        <v>31.83822401543868</v>
      </c>
      <c r="EP33" s="164">
        <f t="shared" si="74"/>
        <v>29.090058867175955</v>
      </c>
      <c r="EQ33" s="164">
        <f t="shared" si="74"/>
        <v>26.579105809589635</v>
      </c>
      <c r="ER33" s="164">
        <f t="shared" si="74"/>
        <v>24.284889517170754</v>
      </c>
      <c r="ES33" s="164">
        <f t="shared" si="74"/>
        <v>22.188702023542433</v>
      </c>
      <c r="ET33" s="164">
        <f t="shared" si="74"/>
        <v>20.273450169145125</v>
      </c>
      <c r="EU33" s="164">
        <f t="shared" si="74"/>
        <v>18.523516216708927</v>
      </c>
      <c r="EV33" s="164">
        <f t="shared" si="74"/>
        <v>16.924630497915249</v>
      </c>
      <c r="EW33" s="164">
        <f t="shared" si="74"/>
        <v>15.46375505275722</v>
      </c>
      <c r="EX33" s="164">
        <f t="shared" si="74"/>
        <v>14.128977312747232</v>
      </c>
      <c r="EY33" s="164">
        <f t="shared" si="74"/>
        <v>12.909412961021514</v>
      </c>
      <c r="EZ33" s="164">
        <f t="shared" si="74"/>
        <v>1.1795117177223799</v>
      </c>
      <c r="FA33" s="164">
        <f t="shared" si="74"/>
        <v>1.0777003543423023</v>
      </c>
      <c r="FB33" s="164">
        <f t="shared" ref="FB33:FG48" si="75">FA33*(1-FA$32)*EXP($BV$38*15)</f>
        <v>0.9846769949791121</v>
      </c>
      <c r="FC33" s="164">
        <f t="shared" si="75"/>
        <v>0.8996830895845942</v>
      </c>
      <c r="FD33" s="164">
        <f t="shared" si="75"/>
        <v>0.82202556352162093</v>
      </c>
      <c r="FE33" s="164">
        <f t="shared" si="75"/>
        <v>0.75107116595360013</v>
      </c>
      <c r="FF33" s="164">
        <f t="shared" si="75"/>
        <v>0.68624130606135725</v>
      </c>
      <c r="FG33" s="164">
        <f t="shared" si="75"/>
        <v>0.62700733497987915</v>
      </c>
    </row>
    <row r="34" spans="2:163" ht="13" x14ac:dyDescent="0.3">
      <c r="B34" s="494" t="str">
        <f>Colony!B86</f>
        <v>P: Package bee colony (3 lb), installed on drawn comb and fed well</v>
      </c>
      <c r="C34" s="494"/>
      <c r="D34" s="494"/>
      <c r="E34" s="494"/>
      <c r="F34" s="494"/>
      <c r="G34" s="494"/>
      <c r="H34" s="494"/>
      <c r="I34" s="494"/>
      <c r="J34" s="494"/>
      <c r="K34" s="494"/>
      <c r="L34" s="494"/>
      <c r="M34" s="494"/>
      <c r="O34" s="506">
        <v>0.95</v>
      </c>
      <c r="P34" s="506"/>
      <c r="Q34" s="431" t="s">
        <v>356</v>
      </c>
      <c r="R34" s="432"/>
      <c r="S34" s="432"/>
      <c r="T34" s="432"/>
      <c r="U34" s="432"/>
      <c r="V34" s="432"/>
      <c r="W34" s="432"/>
      <c r="X34" s="432"/>
      <c r="Y34" s="432"/>
      <c r="Z34" s="432"/>
      <c r="AA34" s="432"/>
      <c r="AB34" s="432"/>
      <c r="AC34" s="432"/>
      <c r="AD34" s="432"/>
      <c r="AE34" s="433"/>
      <c r="BA34" s="64"/>
      <c r="BE34" s="64"/>
      <c r="BO34" s="364">
        <f t="shared" si="71"/>
        <v>6.0000000000000001E-3</v>
      </c>
      <c r="BP34" s="61">
        <f t="shared" si="72"/>
        <v>6.0000000000000001E-3</v>
      </c>
      <c r="BQ34" s="371" t="s">
        <v>333</v>
      </c>
      <c r="BW34"/>
      <c r="BX34"/>
      <c r="CA34"/>
      <c r="CB34"/>
      <c r="CC34"/>
      <c r="CD34" s="37"/>
      <c r="CE34" s="37"/>
      <c r="CH34"/>
      <c r="CI34"/>
      <c r="CJ34" s="55"/>
      <c r="CR34" s="14"/>
      <c r="CS34" s="15"/>
      <c r="CT34" s="15"/>
      <c r="CU34" s="15"/>
      <c r="CV34" s="15"/>
      <c r="CW34" s="371"/>
      <c r="CX34" s="256"/>
      <c r="CY34" s="379"/>
      <c r="DE34" s="17"/>
      <c r="DF34" s="17"/>
      <c r="DG34" s="17"/>
      <c r="DH34" s="17"/>
      <c r="DI34" s="17"/>
      <c r="DJ34" s="17"/>
      <c r="DK34" s="17"/>
      <c r="DL34" s="31"/>
      <c r="EI34" s="273">
        <f t="shared" si="73"/>
        <v>40558</v>
      </c>
      <c r="EK34" s="162">
        <f>EI5</f>
        <v>7.8046597759459821</v>
      </c>
      <c r="EL34" s="17">
        <f t="shared" si="74"/>
        <v>7.1309885944158156</v>
      </c>
      <c r="EM34" s="17">
        <f t="shared" si="74"/>
        <v>6.5154663743846459</v>
      </c>
      <c r="EN34" s="17">
        <f t="shared" si="74"/>
        <v>5.9530738990355507</v>
      </c>
      <c r="EO34" s="17">
        <f t="shared" si="74"/>
        <v>5.4392251929510396</v>
      </c>
      <c r="EP34" s="164">
        <f t="shared" si="74"/>
        <v>4.9697301262170326</v>
      </c>
      <c r="EQ34" s="164">
        <f>EP34*(1-EP$32)*EXP($BV$38*15)</f>
        <v>4.5407602464109784</v>
      </c>
      <c r="ER34" s="164">
        <f t="shared" si="74"/>
        <v>4.1488175598543275</v>
      </c>
      <c r="ES34" s="164">
        <f t="shared" si="74"/>
        <v>3.7907060075590961</v>
      </c>
      <c r="ET34" s="164">
        <f t="shared" si="74"/>
        <v>3.4635054032718564</v>
      </c>
      <c r="EU34" s="164">
        <f t="shared" si="74"/>
        <v>3.1645476210954437</v>
      </c>
      <c r="EV34" s="164">
        <f t="shared" si="74"/>
        <v>2.8913948385126247</v>
      </c>
      <c r="EW34" s="164">
        <f t="shared" si="74"/>
        <v>2.6418196573965544</v>
      </c>
      <c r="EX34" s="164">
        <f t="shared" si="74"/>
        <v>2.4137869409067134</v>
      </c>
      <c r="EY34" s="164">
        <f t="shared" si="74"/>
        <v>2.2054372181610327</v>
      </c>
      <c r="EZ34" s="164">
        <f t="shared" si="74"/>
        <v>0.20150715213592052</v>
      </c>
      <c r="FA34" s="164">
        <f t="shared" si="74"/>
        <v>0.18411375317129611</v>
      </c>
      <c r="FB34" s="164">
        <f t="shared" si="75"/>
        <v>0.16822169212116186</v>
      </c>
      <c r="FC34" s="164">
        <f t="shared" si="75"/>
        <v>0.15370137870025671</v>
      </c>
      <c r="FD34" s="164">
        <f t="shared" si="75"/>
        <v>0.14043440840759366</v>
      </c>
      <c r="FE34" s="164">
        <f t="shared" si="75"/>
        <v>0.12831259700833039</v>
      </c>
      <c r="FF34" s="164">
        <f t="shared" si="75"/>
        <v>0.11723709835581816</v>
      </c>
      <c r="FG34" s="164">
        <f t="shared" si="75"/>
        <v>0.10711759836019413</v>
      </c>
    </row>
    <row r="35" spans="2:163" ht="13" x14ac:dyDescent="0.3">
      <c r="B35" s="428" t="str">
        <f>Colony!B114</f>
        <v>A: Subtropical colony, dry climate; no winter brood break--Southern California</v>
      </c>
      <c r="C35" s="428"/>
      <c r="D35" s="428"/>
      <c r="E35" s="428"/>
      <c r="F35" s="428"/>
      <c r="G35" s="428"/>
      <c r="H35" s="428"/>
      <c r="I35" s="428"/>
      <c r="J35" s="428"/>
      <c r="K35" s="509"/>
      <c r="L35" s="510"/>
      <c r="M35" s="511"/>
      <c r="O35" s="506">
        <v>0.9</v>
      </c>
      <c r="P35" s="506"/>
      <c r="Q35" s="431" t="s">
        <v>1</v>
      </c>
      <c r="R35" s="432"/>
      <c r="S35" s="432"/>
      <c r="T35" s="432"/>
      <c r="U35" s="432"/>
      <c r="V35" s="432"/>
      <c r="W35" s="432"/>
      <c r="X35" s="432"/>
      <c r="Y35" s="432"/>
      <c r="Z35" s="432"/>
      <c r="AA35" s="432"/>
      <c r="AB35" s="432"/>
      <c r="AC35" s="432"/>
      <c r="AD35" s="432"/>
      <c r="AE35" s="433"/>
      <c r="AG35" s="462" t="s">
        <v>367</v>
      </c>
      <c r="AH35" s="462"/>
      <c r="AI35" s="462"/>
      <c r="AJ35" s="462"/>
      <c r="AK35" s="462"/>
      <c r="AL35" s="462"/>
      <c r="AM35" s="462"/>
      <c r="AN35" s="462"/>
      <c r="AO35" s="462"/>
      <c r="AP35" s="462"/>
      <c r="AQ35" s="462"/>
      <c r="AR35" s="462"/>
      <c r="AS35" s="462"/>
      <c r="AT35" s="462"/>
      <c r="AU35" s="462"/>
      <c r="AV35" s="462"/>
      <c r="AW35" s="462"/>
      <c r="AX35" s="462"/>
      <c r="AY35" s="462"/>
      <c r="BB35"/>
      <c r="BN35" s="60"/>
      <c r="BO35" s="323">
        <f t="shared" si="71"/>
        <v>0.6</v>
      </c>
      <c r="BP35" s="170">
        <f t="shared" si="72"/>
        <v>0.6</v>
      </c>
      <c r="BQ35" s="371" t="s">
        <v>132</v>
      </c>
      <c r="CA35"/>
      <c r="CB35"/>
      <c r="CD35" s="37"/>
      <c r="CE35" s="37"/>
      <c r="CH35"/>
      <c r="CI35"/>
      <c r="CJ35" s="55"/>
      <c r="CR35" s="14"/>
      <c r="CS35" s="15"/>
      <c r="CT35" s="15"/>
      <c r="CU35" s="15"/>
      <c r="CV35" s="15"/>
      <c r="CW35" s="371"/>
      <c r="CX35" s="256"/>
      <c r="DE35" s="17"/>
      <c r="DF35" s="17"/>
      <c r="DG35" s="17"/>
      <c r="DH35" s="17"/>
      <c r="DI35" s="17"/>
      <c r="DJ35" s="17"/>
      <c r="DK35" s="17"/>
      <c r="DL35" s="31"/>
      <c r="EI35" s="273">
        <f t="shared" si="73"/>
        <v>40575</v>
      </c>
      <c r="EL35" s="162">
        <f>EI6</f>
        <v>17.891338114681091</v>
      </c>
      <c r="EM35" s="17">
        <f t="shared" si="74"/>
        <v>16.347019818575479</v>
      </c>
      <c r="EN35" s="17">
        <f t="shared" si="74"/>
        <v>14.936001725305424</v>
      </c>
      <c r="EO35" s="17">
        <f t="shared" si="74"/>
        <v>13.646777823370053</v>
      </c>
      <c r="EP35" s="17">
        <f t="shared" si="74"/>
        <v>12.468835260302329</v>
      </c>
      <c r="EQ35" s="164">
        <f t="shared" si="74"/>
        <v>11.392568616623459</v>
      </c>
      <c r="ER35" s="164">
        <f t="shared" si="74"/>
        <v>10.409201579372438</v>
      </c>
      <c r="ES35" s="164">
        <f t="shared" si="74"/>
        <v>9.5107153765050541</v>
      </c>
      <c r="ET35" s="164">
        <f t="shared" si="74"/>
        <v>8.6897833885875286</v>
      </c>
      <c r="EU35" s="164">
        <f t="shared" si="74"/>
        <v>7.9397114045821242</v>
      </c>
      <c r="EV35" s="164">
        <f t="shared" si="74"/>
        <v>7.2543830345462794</v>
      </c>
      <c r="EW35" s="164">
        <f t="shared" si="74"/>
        <v>6.6282098341183548</v>
      </c>
      <c r="EX35" s="164">
        <f t="shared" si="74"/>
        <v>6.0560857340849026</v>
      </c>
      <c r="EY35" s="164">
        <f t="shared" si="74"/>
        <v>5.5333454034297516</v>
      </c>
      <c r="EZ35" s="164">
        <f t="shared" si="74"/>
        <v>0.50557262063403785</v>
      </c>
      <c r="FA35" s="164">
        <f t="shared" si="74"/>
        <v>0.46193334429536453</v>
      </c>
      <c r="FB35" s="164">
        <f t="shared" si="75"/>
        <v>0.42206085903998763</v>
      </c>
      <c r="FC35" s="164">
        <f t="shared" si="75"/>
        <v>0.38563002851699502</v>
      </c>
      <c r="FD35" s="164">
        <f t="shared" si="75"/>
        <v>0.35234378101838865</v>
      </c>
      <c r="FE35" s="164">
        <f t="shared" si="75"/>
        <v>0.32193068703637789</v>
      </c>
      <c r="FF35" s="164">
        <f t="shared" si="75"/>
        <v>0.29414274591753159</v>
      </c>
      <c r="FG35" s="164">
        <f t="shared" si="75"/>
        <v>0.26875336356527224</v>
      </c>
    </row>
    <row r="36" spans="2:163" ht="13" customHeight="1" x14ac:dyDescent="0.3">
      <c r="B36" s="494" t="str">
        <f>Colony!B142</f>
        <v>B: High latitude colony--short summer, long winter brood break</v>
      </c>
      <c r="C36" s="494"/>
      <c r="D36" s="494"/>
      <c r="E36" s="494"/>
      <c r="F36" s="494"/>
      <c r="G36" s="494"/>
      <c r="H36" s="494"/>
      <c r="I36" s="494"/>
      <c r="J36" s="494"/>
      <c r="K36" s="494"/>
      <c r="L36" s="494"/>
      <c r="M36" s="494"/>
      <c r="O36" s="506">
        <v>0.9</v>
      </c>
      <c r="P36" s="506"/>
      <c r="Q36" s="431" t="s">
        <v>312</v>
      </c>
      <c r="R36" s="432"/>
      <c r="S36" s="432"/>
      <c r="T36" s="432"/>
      <c r="U36" s="432"/>
      <c r="V36" s="432"/>
      <c r="W36" s="432"/>
      <c r="X36" s="432"/>
      <c r="Y36" s="432"/>
      <c r="Z36" s="432"/>
      <c r="AA36" s="432"/>
      <c r="AB36" s="432"/>
      <c r="AC36" s="432"/>
      <c r="AD36" s="432"/>
      <c r="AE36" s="433"/>
      <c r="AG36" s="363" t="s">
        <v>331</v>
      </c>
      <c r="BB36"/>
      <c r="BO36" s="12"/>
      <c r="BP36">
        <v>15.208333333333334</v>
      </c>
      <c r="BQ36" s="235" t="s">
        <v>286</v>
      </c>
      <c r="BU36" t="s">
        <v>208</v>
      </c>
      <c r="CA36"/>
      <c r="CB36"/>
      <c r="CD36" s="37"/>
      <c r="CE36" s="37"/>
      <c r="CH36"/>
      <c r="CI36"/>
      <c r="CJ36" s="55"/>
      <c r="CQ36" s="37"/>
      <c r="CR36" s="14"/>
      <c r="CS36" s="15"/>
      <c r="CT36" s="15"/>
      <c r="CU36" s="15"/>
      <c r="CV36" s="15"/>
      <c r="CW36" s="371"/>
      <c r="CX36" s="256"/>
      <c r="DE36" s="17"/>
      <c r="DF36" s="17"/>
      <c r="DG36" s="17"/>
      <c r="DH36" s="17"/>
      <c r="DI36" s="17"/>
      <c r="DJ36" s="17"/>
      <c r="DK36" s="17"/>
      <c r="DL36" s="31"/>
      <c r="EI36" s="273">
        <f t="shared" si="73"/>
        <v>40589</v>
      </c>
      <c r="EM36" s="162">
        <f>EI7</f>
        <v>27.771601207724324</v>
      </c>
      <c r="EN36" s="17">
        <f t="shared" si="74"/>
        <v>25.374452845632575</v>
      </c>
      <c r="EO36" s="17">
        <f t="shared" si="74"/>
        <v>23.184218021831192</v>
      </c>
      <c r="EP36" s="17">
        <f t="shared" si="74"/>
        <v>21.1830366768408</v>
      </c>
      <c r="EQ36" s="17">
        <f t="shared" si="74"/>
        <v>19.354590369614741</v>
      </c>
      <c r="ER36" s="164">
        <f t="shared" si="74"/>
        <v>17.683969210379086</v>
      </c>
      <c r="ES36" s="164">
        <f t="shared" si="74"/>
        <v>16.157550279368706</v>
      </c>
      <c r="ET36" s="164">
        <f t="shared" si="74"/>
        <v>14.762886540036639</v>
      </c>
      <c r="EU36" s="164">
        <f t="shared" si="74"/>
        <v>13.488605340890219</v>
      </c>
      <c r="EV36" s="164">
        <f t="shared" si="74"/>
        <v>12.324315678296921</v>
      </c>
      <c r="EW36" s="164">
        <f t="shared" si="74"/>
        <v>11.26052346404339</v>
      </c>
      <c r="EX36" s="164">
        <f t="shared" si="74"/>
        <v>10.288554106705092</v>
      </c>
      <c r="EY36" s="164">
        <f t="shared" si="74"/>
        <v>9.4004817755238186</v>
      </c>
      <c r="EZ36" s="164">
        <f t="shared" si="74"/>
        <v>0.85890647699821066</v>
      </c>
      <c r="FA36" s="164">
        <f t="shared" si="74"/>
        <v>0.78476864680520086</v>
      </c>
      <c r="FB36" s="164">
        <f t="shared" si="75"/>
        <v>0.71703013715863395</v>
      </c>
      <c r="FC36" s="164">
        <f t="shared" si="75"/>
        <v>0.65513858088847665</v>
      </c>
      <c r="FD36" s="164">
        <f t="shared" si="75"/>
        <v>0.59858928924435217</v>
      </c>
      <c r="FE36" s="164">
        <f t="shared" si="75"/>
        <v>0.54692113645960527</v>
      </c>
      <c r="FF36" s="164">
        <f t="shared" si="75"/>
        <v>0.49971279954553327</v>
      </c>
      <c r="FG36" s="164">
        <f t="shared" si="75"/>
        <v>0.45657932265354623</v>
      </c>
    </row>
    <row r="37" spans="2:163" ht="13" customHeight="1" x14ac:dyDescent="0.3">
      <c r="B37" s="495" t="str">
        <f>Colony!B170</f>
        <v>C: California 8-frame almond colony shaken twice in April.   Enter a 25% "treatment" in April to account for mites lost on shook bees</v>
      </c>
      <c r="C37" s="495"/>
      <c r="D37" s="495"/>
      <c r="E37" s="495"/>
      <c r="F37" s="495"/>
      <c r="G37" s="495"/>
      <c r="H37" s="495"/>
      <c r="I37" s="495"/>
      <c r="J37" s="495"/>
      <c r="K37" s="495"/>
      <c r="L37" s="495"/>
      <c r="M37" s="495"/>
      <c r="O37" s="506">
        <v>0.5</v>
      </c>
      <c r="P37" s="506"/>
      <c r="Q37" s="431" t="s">
        <v>313</v>
      </c>
      <c r="R37" s="432"/>
      <c r="S37" s="432"/>
      <c r="T37" s="432"/>
      <c r="U37" s="432"/>
      <c r="V37" s="432"/>
      <c r="W37" s="432"/>
      <c r="X37" s="432"/>
      <c r="Y37" s="432"/>
      <c r="Z37" s="432"/>
      <c r="AA37" s="432"/>
      <c r="AB37" s="432"/>
      <c r="AC37" s="432"/>
      <c r="AD37" s="432"/>
      <c r="AE37" s="433"/>
      <c r="AG37" s="6" t="s">
        <v>200</v>
      </c>
      <c r="AH37" s="405"/>
      <c r="BF37" s="66"/>
      <c r="BO37" s="391">
        <v>0.5</v>
      </c>
      <c r="BP37" s="387">
        <v>0.5</v>
      </c>
      <c r="BQ37" s="371" t="s">
        <v>335</v>
      </c>
      <c r="BV37" s="85">
        <f>LN(1-BP33)</f>
        <v>-5.0125418235442863E-3</v>
      </c>
      <c r="BW37" s="379" t="s">
        <v>175</v>
      </c>
      <c r="CD37" s="30"/>
      <c r="CE37" s="30"/>
      <c r="CH37"/>
      <c r="CI37"/>
      <c r="CJ37" s="55"/>
      <c r="CQ37" s="37"/>
      <c r="CR37" s="14"/>
      <c r="CS37" s="15"/>
      <c r="CT37" s="15"/>
      <c r="CU37" s="15"/>
      <c r="CV37" s="15"/>
      <c r="CW37" s="371"/>
      <c r="CX37" s="256"/>
      <c r="DL37" s="31"/>
      <c r="EI37" s="273">
        <f t="shared" si="73"/>
        <v>40603</v>
      </c>
      <c r="EN37" s="162">
        <f>EI8</f>
        <v>38.308718498795912</v>
      </c>
      <c r="EO37" s="17">
        <f>EN37*(1-EN$32)*EXP($BV$38*15)</f>
        <v>35.002042692948585</v>
      </c>
      <c r="EP37" s="17">
        <f t="shared" si="74"/>
        <v>31.980787681986886</v>
      </c>
      <c r="EQ37" s="17">
        <f t="shared" si="74"/>
        <v>29.22031693214204</v>
      </c>
      <c r="ER37" s="17">
        <f t="shared" si="74"/>
        <v>26.698120449851931</v>
      </c>
      <c r="ES37" s="164">
        <f t="shared" si="74"/>
        <v>24.393631226180876</v>
      </c>
      <c r="ET37" s="164">
        <f t="shared" si="74"/>
        <v>22.288057525120909</v>
      </c>
      <c r="EU37" s="164">
        <f t="shared" si="74"/>
        <v>20.364229648185606</v>
      </c>
      <c r="EV37" s="164">
        <f t="shared" si="74"/>
        <v>18.606459925753082</v>
      </c>
      <c r="EW37" s="164">
        <f t="shared" si="74"/>
        <v>17.000414793471005</v>
      </c>
      <c r="EX37" s="164">
        <f t="shared" si="74"/>
        <v>15.532997910582939</v>
      </c>
      <c r="EY37" s="164">
        <f t="shared" si="74"/>
        <v>14.192243367075667</v>
      </c>
      <c r="EZ37" s="164">
        <f t="shared" si="74"/>
        <v>1.2967218108815424</v>
      </c>
      <c r="FA37" s="164">
        <f t="shared" si="74"/>
        <v>1.1847932785008182</v>
      </c>
      <c r="FB37" s="164">
        <f t="shared" si="75"/>
        <v>1.0825260290998149</v>
      </c>
      <c r="FC37" s="164">
        <f t="shared" si="75"/>
        <v>0.98908613421696079</v>
      </c>
      <c r="FD37" s="164">
        <f t="shared" si="75"/>
        <v>0.9037116472051574</v>
      </c>
      <c r="FE37" s="164">
        <f t="shared" si="75"/>
        <v>0.82570639001103707</v>
      </c>
      <c r="FF37" s="164">
        <f t="shared" si="75"/>
        <v>0.75443427625790149</v>
      </c>
      <c r="FG37" s="164">
        <f t="shared" si="75"/>
        <v>0.68931412434046391</v>
      </c>
    </row>
    <row r="38" spans="2:163" ht="13" customHeight="1" x14ac:dyDescent="0.3">
      <c r="B38" s="495"/>
      <c r="C38" s="495"/>
      <c r="D38" s="495"/>
      <c r="E38" s="495"/>
      <c r="F38" s="495"/>
      <c r="G38" s="495"/>
      <c r="H38" s="495"/>
      <c r="I38" s="495"/>
      <c r="J38" s="495"/>
      <c r="K38" s="495"/>
      <c r="L38" s="495"/>
      <c r="M38" s="495"/>
      <c r="O38" s="497" t="s">
        <v>353</v>
      </c>
      <c r="P38" s="497"/>
      <c r="Q38" s="512" t="s">
        <v>314</v>
      </c>
      <c r="R38" s="513"/>
      <c r="S38" s="513"/>
      <c r="T38" s="513"/>
      <c r="U38" s="513"/>
      <c r="V38" s="513"/>
      <c r="W38" s="513"/>
      <c r="X38" s="513"/>
      <c r="Y38" s="513"/>
      <c r="Z38" s="513"/>
      <c r="AA38" s="513"/>
      <c r="AB38" s="513"/>
      <c r="AC38" s="513"/>
      <c r="AD38" s="513"/>
      <c r="AE38" s="514"/>
      <c r="AG38" s="463"/>
      <c r="AH38" s="464"/>
      <c r="AI38" t="s">
        <v>366</v>
      </c>
      <c r="BD38" t="s">
        <v>208</v>
      </c>
      <c r="BG38" s="236"/>
      <c r="BO38" s="391">
        <v>7.0000000000000007E-2</v>
      </c>
      <c r="BP38" s="387">
        <v>7.0000000000000007E-2</v>
      </c>
      <c r="BQ38" s="371" t="s">
        <v>232</v>
      </c>
      <c r="BV38" s="85">
        <f>LN(1-BP34)</f>
        <v>-6.0180723255630212E-3</v>
      </c>
      <c r="BW38" s="379" t="s">
        <v>210</v>
      </c>
      <c r="CD38" s="30"/>
      <c r="CE38" s="30"/>
      <c r="CG38" s="58"/>
      <c r="CH38"/>
      <c r="CI38"/>
      <c r="CJ38" s="55"/>
      <c r="CQ38" s="37"/>
      <c r="CR38" s="14"/>
      <c r="CS38" s="15"/>
      <c r="CT38" s="15"/>
      <c r="CU38" s="15"/>
      <c r="CV38" s="15"/>
      <c r="CW38" s="371"/>
      <c r="CX38" s="256"/>
      <c r="DL38" s="31"/>
      <c r="EI38" s="273">
        <f t="shared" si="73"/>
        <v>40617</v>
      </c>
      <c r="EO38" s="162">
        <f>EI9</f>
        <v>65.759831193611163</v>
      </c>
      <c r="EP38" s="17">
        <f t="shared" si="74"/>
        <v>60.083670483318727</v>
      </c>
      <c r="EQ38" s="17">
        <f t="shared" si="74"/>
        <v>54.897456292417566</v>
      </c>
      <c r="ER38" s="17">
        <f t="shared" si="74"/>
        <v>50.158898135469457</v>
      </c>
      <c r="ES38" s="17">
        <f t="shared" si="74"/>
        <v>45.829355895163751</v>
      </c>
      <c r="ET38" s="164">
        <f t="shared" si="74"/>
        <v>41.873524735192483</v>
      </c>
      <c r="EU38" s="164">
        <f t="shared" si="74"/>
        <v>38.259147210354044</v>
      </c>
      <c r="EV38" s="164">
        <f t="shared" si="74"/>
        <v>34.956750226314881</v>
      </c>
      <c r="EW38" s="164">
        <f t="shared" si="74"/>
        <v>31.939404704092919</v>
      </c>
      <c r="EX38" s="164">
        <f t="shared" si="74"/>
        <v>29.182505989469774</v>
      </c>
      <c r="EY38" s="164">
        <f t="shared" si="74"/>
        <v>26.663573216701419</v>
      </c>
      <c r="EZ38" s="164">
        <f t="shared" si="74"/>
        <v>2.4362065990457951</v>
      </c>
      <c r="FA38" s="164">
        <f t="shared" si="74"/>
        <v>2.225921689114299</v>
      </c>
      <c r="FB38" s="164">
        <f t="shared" si="75"/>
        <v>2.0337878437773318</v>
      </c>
      <c r="FC38" s="164">
        <f t="shared" si="75"/>
        <v>1.8582383260492386</v>
      </c>
      <c r="FD38" s="164">
        <f t="shared" si="75"/>
        <v>1.6978416342507805</v>
      </c>
      <c r="FE38" s="164">
        <f t="shared" si="75"/>
        <v>1.5512898289662</v>
      </c>
      <c r="FF38" s="164">
        <f t="shared" si="75"/>
        <v>1.4173878675768938</v>
      </c>
      <c r="FG38" s="164">
        <f t="shared" si="75"/>
        <v>1.2950438594011737</v>
      </c>
    </row>
    <row r="39" spans="2:163" ht="13" customHeight="1" x14ac:dyDescent="0.3">
      <c r="B39" s="495" t="str">
        <f>Colony!B198</f>
        <v>R: Randy's California hives, split 4 ways after almonds and oxalic'd (enter a total 90% mite reduction on Apr 1 from splitting 4 ways, oxalic trtmt &amp; drone frame removal)</v>
      </c>
      <c r="C39" s="495"/>
      <c r="D39" s="495"/>
      <c r="E39" s="495"/>
      <c r="F39" s="495"/>
      <c r="G39" s="495"/>
      <c r="H39" s="495"/>
      <c r="I39" s="495"/>
      <c r="J39" s="495"/>
      <c r="K39" s="495"/>
      <c r="L39" s="495"/>
      <c r="M39" s="495"/>
      <c r="O39" s="497"/>
      <c r="P39" s="497"/>
      <c r="Q39" s="515"/>
      <c r="R39" s="516"/>
      <c r="S39" s="516"/>
      <c r="T39" s="516"/>
      <c r="U39" s="516"/>
      <c r="V39" s="516"/>
      <c r="W39" s="516"/>
      <c r="X39" s="516"/>
      <c r="Y39" s="516"/>
      <c r="Z39" s="516"/>
      <c r="AA39" s="516"/>
      <c r="AB39" s="516"/>
      <c r="AC39" s="516"/>
      <c r="AD39" s="516"/>
      <c r="AE39" s="517"/>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Y39" t="s">
        <v>253</v>
      </c>
      <c r="BG39" s="236"/>
      <c r="BO39" s="324">
        <f>AG49</f>
        <v>0.05</v>
      </c>
      <c r="BP39" s="170">
        <f>IF($AG$38="custom",AH49,IF($AG$38="",BO39,"error"))</f>
        <v>0.05</v>
      </c>
      <c r="BQ39" s="371" t="s">
        <v>309</v>
      </c>
      <c r="BU39" s="12"/>
      <c r="CD39" s="37"/>
      <c r="CE39" s="37"/>
      <c r="CH39" s="20"/>
      <c r="CI39" s="20"/>
      <c r="CJ39" s="99"/>
      <c r="CQ39" s="37"/>
      <c r="CR39" s="14"/>
      <c r="CS39" s="15"/>
      <c r="CT39" s="15"/>
      <c r="CU39" s="15"/>
      <c r="CV39" s="15"/>
      <c r="CW39" s="371"/>
      <c r="CX39" s="256"/>
      <c r="DL39" s="31"/>
      <c r="EI39" s="273">
        <f t="shared" si="73"/>
        <v>40634</v>
      </c>
      <c r="EP39" s="162">
        <f>EI10</f>
        <v>115.94877760718427</v>
      </c>
      <c r="EQ39" s="17">
        <f t="shared" si="74"/>
        <v>105.94048099336516</v>
      </c>
      <c r="ER39" s="17">
        <f t="shared" si="74"/>
        <v>96.796065855291573</v>
      </c>
      <c r="ES39" s="17">
        <f t="shared" si="74"/>
        <v>88.440964938121567</v>
      </c>
      <c r="ET39" s="17">
        <f t="shared" si="74"/>
        <v>80.807047374007013</v>
      </c>
      <c r="EU39" s="164">
        <f t="shared" si="74"/>
        <v>73.832063115476245</v>
      </c>
      <c r="EV39" s="164">
        <f t="shared" si="74"/>
        <v>67.459135323401668</v>
      </c>
      <c r="EW39" s="164">
        <f t="shared" si="74"/>
        <v>61.63629657027856</v>
      </c>
      <c r="EX39" s="164">
        <f t="shared" si="74"/>
        <v>56.316065076829446</v>
      </c>
      <c r="EY39" s="164">
        <f t="shared" si="74"/>
        <v>51.455057526396025</v>
      </c>
      <c r="EZ39" s="164">
        <f t="shared" si="74"/>
        <v>4.7013635299850796</v>
      </c>
      <c r="FA39" s="164">
        <f t="shared" si="74"/>
        <v>4.2955581246285082</v>
      </c>
      <c r="FB39" s="164">
        <f t="shared" si="75"/>
        <v>3.9247804353730857</v>
      </c>
      <c r="FC39" s="164">
        <f t="shared" si="75"/>
        <v>3.5860069911682362</v>
      </c>
      <c r="FD39" s="164">
        <f t="shared" si="75"/>
        <v>3.2764752965053598</v>
      </c>
      <c r="FE39" s="164">
        <f t="shared" si="75"/>
        <v>2.9936613049135699</v>
      </c>
      <c r="FF39" s="164">
        <f t="shared" si="75"/>
        <v>2.735258836865202</v>
      </c>
      <c r="FG39" s="164">
        <f t="shared" si="75"/>
        <v>2.4991607742563851</v>
      </c>
    </row>
    <row r="40" spans="2:163" ht="12.75" customHeight="1" x14ac:dyDescent="0.3">
      <c r="B40" s="495"/>
      <c r="C40" s="495"/>
      <c r="D40" s="495"/>
      <c r="E40" s="495"/>
      <c r="F40" s="495"/>
      <c r="G40" s="495"/>
      <c r="H40" s="495"/>
      <c r="I40" s="495"/>
      <c r="J40" s="495"/>
      <c r="K40" s="495"/>
      <c r="L40" s="495"/>
      <c r="M40" s="495"/>
      <c r="O40" s="497" t="s">
        <v>354</v>
      </c>
      <c r="P40" s="497"/>
      <c r="Q40" s="431" t="s">
        <v>4</v>
      </c>
      <c r="R40" s="432"/>
      <c r="S40" s="432"/>
      <c r="T40" s="432"/>
      <c r="U40" s="432"/>
      <c r="V40" s="432"/>
      <c r="W40" s="432"/>
      <c r="X40" s="432"/>
      <c r="Y40" s="432"/>
      <c r="Z40" s="432"/>
      <c r="AA40" s="432"/>
      <c r="AB40" s="432"/>
      <c r="AC40" s="432"/>
      <c r="AD40" s="432"/>
      <c r="AE40" s="433"/>
      <c r="AG40" s="120">
        <v>1.45</v>
      </c>
      <c r="AH40" s="321">
        <v>1.45</v>
      </c>
      <c r="AI40" s="371" t="s">
        <v>341</v>
      </c>
      <c r="AY40" s="368" t="s">
        <v>208</v>
      </c>
      <c r="AZ40" s="465">
        <f>IF(AG38="custom", AH40*AH41,AG40*AG41)</f>
        <v>1.0149999999999999</v>
      </c>
      <c r="BA40" s="466" t="s">
        <v>194</v>
      </c>
      <c r="BB40" s="467"/>
      <c r="BC40" s="467"/>
      <c r="BD40" s="467"/>
      <c r="BE40" s="467"/>
      <c r="BF40" s="468"/>
      <c r="BG40" s="236"/>
      <c r="CD40" s="37"/>
      <c r="CE40" s="37"/>
      <c r="CH40" s="12"/>
      <c r="CI40" s="12"/>
      <c r="CJ40" s="55"/>
      <c r="CQ40" s="37"/>
      <c r="CR40" s="14"/>
      <c r="CS40" s="15"/>
      <c r="CT40" s="15"/>
      <c r="CU40" s="15"/>
      <c r="CV40" s="15"/>
      <c r="CW40" s="371"/>
      <c r="CX40" s="256"/>
      <c r="DL40" s="31"/>
      <c r="EI40" s="273">
        <f t="shared" si="73"/>
        <v>40648</v>
      </c>
      <c r="EQ40" s="162">
        <f>EI11</f>
        <v>174.92614060655501</v>
      </c>
      <c r="ER40" s="17">
        <f t="shared" si="74"/>
        <v>159.82712242947545</v>
      </c>
      <c r="ES40" s="17">
        <f t="shared" si="74"/>
        <v>146.03139916944636</v>
      </c>
      <c r="ET40" s="17">
        <f t="shared" si="74"/>
        <v>133.42647492634438</v>
      </c>
      <c r="EU40" s="17">
        <f t="shared" si="74"/>
        <v>121.90956405624297</v>
      </c>
      <c r="EV40" s="164">
        <f t="shared" si="74"/>
        <v>111.38675301575243</v>
      </c>
      <c r="EW40" s="164">
        <f t="shared" si="74"/>
        <v>101.77223455305165</v>
      </c>
      <c r="EX40" s="164">
        <f t="shared" si="74"/>
        <v>92.987608000895577</v>
      </c>
      <c r="EY40" s="164">
        <f t="shared" si="74"/>
        <v>84.961239965905293</v>
      </c>
      <c r="EZ40" s="164">
        <f t="shared" si="74"/>
        <v>7.7627680200942688</v>
      </c>
      <c r="FA40" s="164">
        <f t="shared" si="74"/>
        <v>7.0927127897357307</v>
      </c>
      <c r="FB40" s="164">
        <f t="shared" si="75"/>
        <v>6.4804944045036539</v>
      </c>
      <c r="FC40" s="164">
        <f t="shared" si="75"/>
        <v>5.9211205883846221</v>
      </c>
      <c r="FD40" s="164">
        <f t="shared" si="75"/>
        <v>5.4100299813278676</v>
      </c>
      <c r="FE40" s="164">
        <f t="shared" si="75"/>
        <v>4.9430549440728937</v>
      </c>
      <c r="FF40" s="164">
        <f t="shared" si="75"/>
        <v>4.5163875735354635</v>
      </c>
      <c r="FG40" s="164">
        <f t="shared" si="75"/>
        <v>4.126548651627683</v>
      </c>
    </row>
    <row r="41" spans="2:163" ht="12.75" customHeight="1" x14ac:dyDescent="0.3">
      <c r="B41" s="495" t="str">
        <f>Colony!B226</f>
        <v>S: Colony swarming in May--enter a 50-60% "treatment" reduction of mites on 15 May</v>
      </c>
      <c r="C41" s="495"/>
      <c r="D41" s="495"/>
      <c r="E41" s="495"/>
      <c r="F41" s="495"/>
      <c r="G41" s="495"/>
      <c r="H41" s="495"/>
      <c r="I41" s="495"/>
      <c r="J41" s="495"/>
      <c r="K41" s="495"/>
      <c r="L41" s="495"/>
      <c r="M41" s="495"/>
      <c r="O41" s="506">
        <v>0.25</v>
      </c>
      <c r="P41" s="506"/>
      <c r="Q41" s="431" t="s">
        <v>315</v>
      </c>
      <c r="R41" s="432"/>
      <c r="S41" s="432"/>
      <c r="T41" s="432"/>
      <c r="U41" s="432"/>
      <c r="V41" s="432"/>
      <c r="W41" s="432"/>
      <c r="X41" s="432"/>
      <c r="Y41" s="432"/>
      <c r="Z41" s="432"/>
      <c r="AA41" s="432"/>
      <c r="AB41" s="432"/>
      <c r="AC41" s="432"/>
      <c r="AD41" s="432"/>
      <c r="AE41" s="433"/>
      <c r="AG41" s="110">
        <v>0.7</v>
      </c>
      <c r="AH41" s="251">
        <v>0.7</v>
      </c>
      <c r="AI41" s="235" t="s">
        <v>225</v>
      </c>
      <c r="AW41" s="475" t="s">
        <v>208</v>
      </c>
      <c r="AX41" s="475"/>
      <c r="AZ41" s="465"/>
      <c r="BA41" s="469"/>
      <c r="BB41" s="470"/>
      <c r="BC41" s="470"/>
      <c r="BD41" s="470"/>
      <c r="BE41" s="470"/>
      <c r="BF41" s="471"/>
      <c r="BG41" s="370"/>
      <c r="BH41" s="370"/>
      <c r="BI41" s="370"/>
      <c r="BJ41" s="370"/>
      <c r="BO41" s="87">
        <v>5</v>
      </c>
      <c r="BP41" s="61">
        <f>IF($AG$38="custom",AH48,IF($AG$38="",BO41,"error"))</f>
        <v>5</v>
      </c>
      <c r="BQ41" t="s">
        <v>6</v>
      </c>
      <c r="CD41" s="37"/>
      <c r="CE41" s="37"/>
      <c r="CH41"/>
      <c r="CI41"/>
      <c r="CJ41" s="55"/>
      <c r="CQ41" s="37"/>
      <c r="CR41" s="14"/>
      <c r="CS41" s="15"/>
      <c r="CT41" s="15"/>
      <c r="CU41" s="15"/>
      <c r="CV41" s="15"/>
      <c r="CW41" s="371"/>
      <c r="CX41" s="256"/>
      <c r="DL41" s="31"/>
      <c r="EI41" s="273">
        <f t="shared" si="73"/>
        <v>40664</v>
      </c>
      <c r="EK41" s="163" t="s">
        <v>185</v>
      </c>
      <c r="EL41" s="163"/>
      <c r="EM41" s="163"/>
      <c r="EN41" s="163"/>
      <c r="ER41" s="162">
        <f>EI12</f>
        <v>276.87312176501246</v>
      </c>
      <c r="ES41" s="17">
        <f t="shared" si="74"/>
        <v>252.97439351445604</v>
      </c>
      <c r="ET41" s="17">
        <f t="shared" si="74"/>
        <v>231.138520655398</v>
      </c>
      <c r="EU41" s="17">
        <f t="shared" si="74"/>
        <v>211.18744466013678</v>
      </c>
      <c r="EV41" s="17">
        <f t="shared" si="74"/>
        <v>192.9584763959453</v>
      </c>
      <c r="EW41" s="164">
        <f t="shared" si="74"/>
        <v>176.30296949216594</v>
      </c>
      <c r="EX41" s="164">
        <f t="shared" si="74"/>
        <v>161.08510821765978</v>
      </c>
      <c r="EY41" s="164">
        <f t="shared" si="74"/>
        <v>147.18079998447323</v>
      </c>
      <c r="EZ41" s="164">
        <f t="shared" si="74"/>
        <v>13.447666344674984</v>
      </c>
      <c r="FA41" s="164">
        <f t="shared" si="74"/>
        <v>12.286910394343684</v>
      </c>
      <c r="FB41" s="164">
        <f t="shared" si="75"/>
        <v>11.22634687455726</v>
      </c>
      <c r="FC41" s="164">
        <f t="shared" si="75"/>
        <v>10.257327521970067</v>
      </c>
      <c r="FD41" s="164">
        <f t="shared" si="75"/>
        <v>9.3719505613542644</v>
      </c>
      <c r="FE41" s="164">
        <f t="shared" si="75"/>
        <v>8.5629962713327519</v>
      </c>
      <c r="FF41" s="164">
        <f t="shared" si="75"/>
        <v>7.8238681118547246</v>
      </c>
      <c r="FG41" s="164">
        <f t="shared" si="75"/>
        <v>7.1485389333434783</v>
      </c>
    </row>
    <row r="42" spans="2:163" ht="13" customHeight="1" x14ac:dyDescent="0.3">
      <c r="B42" s="494" t="str">
        <f>Colony!B254</f>
        <v xml:space="preserve">F: Feral hive restricted to a 40-liter cavity (1 Langstroth deep), swarming twice </v>
      </c>
      <c r="C42" s="494"/>
      <c r="D42" s="494"/>
      <c r="E42" s="494"/>
      <c r="F42" s="494"/>
      <c r="G42" s="494"/>
      <c r="H42" s="494"/>
      <c r="I42" s="494"/>
      <c r="J42" s="494"/>
      <c r="K42" s="494"/>
      <c r="L42" s="494"/>
      <c r="M42" s="494"/>
      <c r="O42" s="497" t="s">
        <v>355</v>
      </c>
      <c r="P42" s="497"/>
      <c r="Q42" s="431" t="s">
        <v>144</v>
      </c>
      <c r="R42" s="432"/>
      <c r="S42" s="432"/>
      <c r="T42" s="432"/>
      <c r="U42" s="432"/>
      <c r="V42" s="432"/>
      <c r="W42" s="432"/>
      <c r="X42" s="432"/>
      <c r="Y42" s="432"/>
      <c r="Z42" s="432"/>
      <c r="AA42" s="432"/>
      <c r="AB42" s="432"/>
      <c r="AC42" s="432"/>
      <c r="AD42" s="432"/>
      <c r="AE42" s="433"/>
      <c r="AG42" s="120">
        <v>3.5</v>
      </c>
      <c r="AH42" s="321">
        <v>3.5</v>
      </c>
      <c r="AI42" s="371" t="s">
        <v>197</v>
      </c>
      <c r="AJ42" s="12"/>
      <c r="AK42" s="12"/>
      <c r="AL42" s="12"/>
      <c r="AM42" s="12"/>
      <c r="AN42" s="12"/>
      <c r="AO42" s="12"/>
      <c r="AP42" s="12"/>
      <c r="AT42" s="476" t="s">
        <v>195</v>
      </c>
      <c r="AU42" s="478" t="s">
        <v>196</v>
      </c>
      <c r="AV42" s="478"/>
      <c r="AW42" s="478"/>
      <c r="AX42" s="478"/>
      <c r="AY42" s="479"/>
      <c r="BA42" s="472"/>
      <c r="BB42" s="473"/>
      <c r="BC42" s="473"/>
      <c r="BD42" s="473"/>
      <c r="BE42" s="473"/>
      <c r="BF42" s="474"/>
      <c r="BO42" s="87">
        <v>5</v>
      </c>
      <c r="BP42" s="61">
        <f>IF($AG$38="custom",$AH$47,IF($AG$38="",BO42,"error"))</f>
        <v>5</v>
      </c>
      <c r="BQ42" t="s">
        <v>282</v>
      </c>
      <c r="CD42" s="37"/>
      <c r="CE42" s="37"/>
      <c r="CH42"/>
      <c r="CI42"/>
      <c r="CJ42" s="55"/>
      <c r="CQ42" s="37"/>
      <c r="CR42" s="14"/>
      <c r="CS42" s="15"/>
      <c r="CT42" s="15"/>
      <c r="CU42" s="15"/>
      <c r="CV42" s="15"/>
      <c r="CW42" s="371"/>
      <c r="CX42" s="256"/>
      <c r="DL42" s="31"/>
      <c r="EI42" s="273">
        <f t="shared" si="73"/>
        <v>40678</v>
      </c>
      <c r="ES42" s="162">
        <f>EI13</f>
        <v>400.50232484233692</v>
      </c>
      <c r="ET42" s="17">
        <f t="shared" si="74"/>
        <v>365.93235227112217</v>
      </c>
      <c r="EU42" s="17">
        <f t="shared" si="74"/>
        <v>334.34633991548168</v>
      </c>
      <c r="EV42" s="17">
        <f t="shared" si="74"/>
        <v>305.48672267177568</v>
      </c>
      <c r="EW42" s="17">
        <f t="shared" si="74"/>
        <v>279.1181675634104</v>
      </c>
      <c r="EX42" s="164">
        <f t="shared" si="74"/>
        <v>255.02565474068626</v>
      </c>
      <c r="EY42" s="164">
        <f t="shared" si="74"/>
        <v>233.01272412208814</v>
      </c>
      <c r="EZ42" s="164">
        <f t="shared" si="74"/>
        <v>21.289987337942218</v>
      </c>
      <c r="FA42" s="164">
        <f t="shared" si="74"/>
        <v>19.452309420332362</v>
      </c>
      <c r="FB42" s="164">
        <f t="shared" si="75"/>
        <v>17.773253491325214</v>
      </c>
      <c r="FC42" s="164">
        <f t="shared" si="75"/>
        <v>16.239127850635775</v>
      </c>
      <c r="FD42" s="164">
        <f t="shared" si="75"/>
        <v>14.837422618093303</v>
      </c>
      <c r="FE42" s="164">
        <f t="shared" si="75"/>
        <v>13.556707723025145</v>
      </c>
      <c r="FF42" s="164">
        <f t="shared" si="75"/>
        <v>12.386539698843396</v>
      </c>
      <c r="FG42" s="164">
        <f t="shared" si="75"/>
        <v>11.317376522799796</v>
      </c>
    </row>
    <row r="43" spans="2:163" ht="13" customHeight="1" x14ac:dyDescent="0.3">
      <c r="B43" s="495" t="s">
        <v>360</v>
      </c>
      <c r="C43" s="495"/>
      <c r="D43" s="495"/>
      <c r="E43" s="495"/>
      <c r="F43" s="495"/>
      <c r="G43" s="495"/>
      <c r="H43" s="495"/>
      <c r="I43" s="495"/>
      <c r="J43" s="495"/>
      <c r="K43" s="495"/>
      <c r="L43" s="495"/>
      <c r="M43" s="495"/>
      <c r="O43" s="497" t="s">
        <v>355</v>
      </c>
      <c r="P43" s="497"/>
      <c r="Q43" s="431" t="s">
        <v>156</v>
      </c>
      <c r="R43" s="432"/>
      <c r="S43" s="432"/>
      <c r="T43" s="432"/>
      <c r="U43" s="432"/>
      <c r="V43" s="432"/>
      <c r="W43" s="432"/>
      <c r="X43" s="432"/>
      <c r="Y43" s="432"/>
      <c r="Z43" s="432"/>
      <c r="AA43" s="432"/>
      <c r="AB43" s="432"/>
      <c r="AC43" s="432"/>
      <c r="AD43" s="432"/>
      <c r="AE43" s="433"/>
      <c r="AG43" s="110">
        <v>0.7</v>
      </c>
      <c r="AH43" s="251">
        <v>0.7</v>
      </c>
      <c r="AI43" s="371" t="s">
        <v>226</v>
      </c>
      <c r="AT43" s="477"/>
      <c r="AU43" s="480"/>
      <c r="AV43" s="480"/>
      <c r="AW43" s="480"/>
      <c r="AX43" s="480"/>
      <c r="AY43" s="481"/>
      <c r="BO43" s="87">
        <v>4500</v>
      </c>
      <c r="BP43" s="61">
        <v>4500</v>
      </c>
      <c r="BQ43" s="23" t="s">
        <v>13</v>
      </c>
      <c r="CD43" s="37"/>
      <c r="CE43" s="37"/>
      <c r="CH43"/>
      <c r="CI43"/>
      <c r="CJ43" s="55"/>
      <c r="CQ43" s="37"/>
      <c r="CR43" s="14"/>
      <c r="CS43" s="15"/>
      <c r="CT43" s="15"/>
      <c r="CU43" s="15"/>
      <c r="CV43" s="15"/>
      <c r="CW43" s="371"/>
      <c r="CX43" s="256"/>
      <c r="DL43" s="31"/>
      <c r="EI43" s="273">
        <f t="shared" si="73"/>
        <v>40695</v>
      </c>
      <c r="ET43" s="162">
        <f>EI14</f>
        <v>562.84261280839155</v>
      </c>
      <c r="EU43" s="17">
        <f t="shared" si="74"/>
        <v>514.25998923846191</v>
      </c>
      <c r="EV43" s="17">
        <f t="shared" si="74"/>
        <v>469.87084935158271</v>
      </c>
      <c r="EW43" s="17">
        <f t="shared" si="74"/>
        <v>429.3132261705137</v>
      </c>
      <c r="EX43" s="17">
        <f t="shared" si="74"/>
        <v>392.2563964529412</v>
      </c>
      <c r="EY43" s="164">
        <f t="shared" si="74"/>
        <v>358.3981838405677</v>
      </c>
      <c r="EZ43" s="164">
        <f t="shared" si="74"/>
        <v>32.74624947910246</v>
      </c>
      <c r="FA43" s="164">
        <f t="shared" si="74"/>
        <v>29.919706719960253</v>
      </c>
      <c r="FB43" s="164">
        <f t="shared" si="75"/>
        <v>27.337141335215005</v>
      </c>
      <c r="FC43" s="164">
        <f t="shared" si="75"/>
        <v>24.97749404351493</v>
      </c>
      <c r="FD43" s="164">
        <f t="shared" si="75"/>
        <v>22.821523327684734</v>
      </c>
      <c r="FE43" s="164">
        <f t="shared" si="75"/>
        <v>20.851648531622125</v>
      </c>
      <c r="FF43" s="164">
        <f t="shared" si="75"/>
        <v>19.051806500526411</v>
      </c>
      <c r="FG43" s="164">
        <f t="shared" si="75"/>
        <v>17.407320595445675</v>
      </c>
    </row>
    <row r="44" spans="2:163" ht="26" customHeight="1" x14ac:dyDescent="0.3">
      <c r="O44" s="498" t="s">
        <v>345</v>
      </c>
      <c r="P44" s="498"/>
      <c r="Q44" s="495" t="s">
        <v>346</v>
      </c>
      <c r="R44" s="495"/>
      <c r="S44" s="495"/>
      <c r="T44" s="495"/>
      <c r="U44" s="495"/>
      <c r="V44" s="495"/>
      <c r="W44" s="495"/>
      <c r="X44" s="495"/>
      <c r="Y44" s="495"/>
      <c r="Z44" s="495"/>
      <c r="AA44" s="495"/>
      <c r="AB44" s="495"/>
      <c r="AC44" s="495"/>
      <c r="AD44" s="495"/>
      <c r="AE44" s="495"/>
      <c r="AG44" s="121">
        <v>5.0000000000000001E-3</v>
      </c>
      <c r="AH44" s="253">
        <v>5.0000000000000001E-3</v>
      </c>
      <c r="AI44" s="371" t="s">
        <v>329</v>
      </c>
      <c r="BD44" s="354" t="s">
        <v>208</v>
      </c>
      <c r="BK44" s="371"/>
      <c r="BL44" s="371"/>
      <c r="BM44" s="256"/>
      <c r="BO44" s="87">
        <v>2000</v>
      </c>
      <c r="BP44" s="61">
        <v>2000</v>
      </c>
      <c r="BQ44" s="379" t="s">
        <v>14</v>
      </c>
      <c r="CD44" s="37"/>
      <c r="CE44" s="37"/>
      <c r="CH44"/>
      <c r="CI44"/>
      <c r="CJ44" s="55"/>
      <c r="CQ44" s="37"/>
      <c r="CR44" s="19"/>
      <c r="CS44" s="371"/>
      <c r="CT44" s="371"/>
      <c r="CU44" s="371"/>
      <c r="CV44" s="371"/>
      <c r="CW44" s="371"/>
      <c r="DL44" s="31"/>
      <c r="EI44" s="273">
        <f t="shared" si="73"/>
        <v>40709</v>
      </c>
      <c r="EU44" s="162">
        <f>EI15</f>
        <v>778.28938522125043</v>
      </c>
      <c r="EV44" s="17">
        <f t="shared" si="74"/>
        <v>711.11014297800523</v>
      </c>
      <c r="EW44" s="17">
        <f t="shared" si="74"/>
        <v>649.7295800872912</v>
      </c>
      <c r="EX44" s="17">
        <f t="shared" si="74"/>
        <v>593.64717464515888</v>
      </c>
      <c r="EY44" s="17">
        <f t="shared" si="74"/>
        <v>542.40560806363862</v>
      </c>
      <c r="EZ44" s="164">
        <f t="shared" si="74"/>
        <v>49.55870359102444</v>
      </c>
      <c r="FA44" s="164">
        <f t="shared" si="74"/>
        <v>45.280968063568714</v>
      </c>
      <c r="FB44" s="164">
        <f t="shared" si="75"/>
        <v>41.372471840552166</v>
      </c>
      <c r="FC44" s="164">
        <f>FB44*(1-FB$32)*EXP($BV$38*15)</f>
        <v>37.801343464969634</v>
      </c>
      <c r="FD44" s="164">
        <f t="shared" si="75"/>
        <v>34.538462513520713</v>
      </c>
      <c r="FE44" s="164">
        <f t="shared" si="75"/>
        <v>31.557222136915229</v>
      </c>
      <c r="FF44" s="164">
        <f t="shared" si="75"/>
        <v>28.833312096876508</v>
      </c>
      <c r="FG44" s="164">
        <f t="shared" si="75"/>
        <v>26.344520530638569</v>
      </c>
    </row>
    <row r="45" spans="2:163" ht="13" x14ac:dyDescent="0.3">
      <c r="B45" s="496" t="s">
        <v>352</v>
      </c>
      <c r="C45" s="496"/>
      <c r="D45" s="496"/>
      <c r="E45" s="496"/>
      <c r="F45" s="496"/>
      <c r="G45" s="496"/>
      <c r="H45" s="496"/>
      <c r="AG45" s="121">
        <v>6.0000000000000001E-3</v>
      </c>
      <c r="AH45" s="253">
        <v>6.0000000000000001E-3</v>
      </c>
      <c r="AI45" s="371" t="s">
        <v>330</v>
      </c>
      <c r="AO45" s="12"/>
      <c r="AP45" s="12"/>
      <c r="AQ45" s="12"/>
      <c r="AR45" s="12"/>
      <c r="AZ45" s="12"/>
      <c r="BA45" s="344" t="s">
        <v>208</v>
      </c>
      <c r="BB45" s="44"/>
      <c r="BC45" s="12"/>
      <c r="BK45" s="371"/>
      <c r="BL45" s="371"/>
      <c r="BO45" s="87"/>
      <c r="BP45" s="61"/>
      <c r="BY45" s="368"/>
      <c r="CD45" s="37"/>
      <c r="CE45" s="37"/>
      <c r="CH45"/>
      <c r="CI45"/>
      <c r="CJ45" s="55"/>
      <c r="CL45" s="14"/>
      <c r="CQ45" s="37"/>
      <c r="CR45" s="19"/>
      <c r="CS45" s="371"/>
      <c r="CT45" s="371"/>
      <c r="CU45" s="371"/>
      <c r="CV45" s="371"/>
      <c r="CW45" s="371"/>
      <c r="DL45" s="31"/>
      <c r="EI45" s="273">
        <f t="shared" si="73"/>
        <v>40725</v>
      </c>
      <c r="EV45" s="162">
        <f>EI16</f>
        <v>1048.831115988979</v>
      </c>
      <c r="EW45" s="17">
        <f t="shared" si="74"/>
        <v>958.29964922196575</v>
      </c>
      <c r="EX45" s="17">
        <f t="shared" si="74"/>
        <v>875.58254489142405</v>
      </c>
      <c r="EY45" s="17">
        <f t="shared" si="74"/>
        <v>800.00529431579582</v>
      </c>
      <c r="EZ45" s="17">
        <f t="shared" si="74"/>
        <v>73.095161006512157</v>
      </c>
      <c r="FA45" s="164">
        <f t="shared" si="74"/>
        <v>66.785840050439305</v>
      </c>
      <c r="FB45" s="164">
        <f t="shared" si="75"/>
        <v>61.021117811690488</v>
      </c>
      <c r="FC45" s="164">
        <f t="shared" si="75"/>
        <v>55.753986416522089</v>
      </c>
      <c r="FD45" s="164">
        <f t="shared" si="75"/>
        <v>50.941495547926507</v>
      </c>
      <c r="FE45" s="164">
        <f t="shared" si="75"/>
        <v>46.544402211397845</v>
      </c>
      <c r="FF45" s="164">
        <f t="shared" si="75"/>
        <v>42.526850731702865</v>
      </c>
      <c r="FG45" s="164">
        <f t="shared" si="75"/>
        <v>38.856080371221545</v>
      </c>
    </row>
    <row r="46" spans="2:163" ht="13" x14ac:dyDescent="0.3">
      <c r="B46" s="419">
        <v>0</v>
      </c>
      <c r="C46" s="493" t="s">
        <v>288</v>
      </c>
      <c r="D46" s="493"/>
      <c r="E46" s="493"/>
      <c r="F46" s="493"/>
      <c r="G46" s="493"/>
      <c r="H46" s="493"/>
      <c r="AG46" s="110">
        <v>0.6</v>
      </c>
      <c r="AH46" s="251">
        <v>0.6</v>
      </c>
      <c r="AI46" s="371" t="s">
        <v>334</v>
      </c>
      <c r="BF46" s="368" t="s">
        <v>208</v>
      </c>
      <c r="BK46" s="371"/>
      <c r="BL46" s="371"/>
      <c r="BO46" s="169">
        <v>0.95</v>
      </c>
      <c r="BP46" s="170">
        <v>0.95</v>
      </c>
      <c r="BQ46" t="s">
        <v>187</v>
      </c>
      <c r="CD46" s="37"/>
      <c r="CE46" s="37"/>
      <c r="CH46"/>
      <c r="CI46"/>
      <c r="CJ46" s="55"/>
      <c r="CL46" s="14"/>
      <c r="CO46" s="44"/>
      <c r="CP46" s="54"/>
      <c r="CQ46" s="54"/>
      <c r="CR46" s="54"/>
      <c r="CS46" s="54"/>
      <c r="CT46" s="54"/>
      <c r="CU46" s="54"/>
      <c r="CV46" s="54"/>
      <c r="CX46" s="20"/>
      <c r="DL46" s="31"/>
      <c r="EI46" s="273">
        <f t="shared" si="73"/>
        <v>40739</v>
      </c>
      <c r="EW46" s="162">
        <f>EI17</f>
        <v>1350.110445467109</v>
      </c>
      <c r="EX46" s="17">
        <f t="shared" si="74"/>
        <v>1233.5735911897161</v>
      </c>
      <c r="EY46" s="17">
        <f t="shared" si="74"/>
        <v>1127.0957942660878</v>
      </c>
      <c r="EZ46" s="17">
        <f t="shared" si="74"/>
        <v>102.9808791729339</v>
      </c>
      <c r="FA46" s="17">
        <f t="shared" si="74"/>
        <v>94.091926606255626</v>
      </c>
      <c r="FB46" s="164">
        <f t="shared" si="75"/>
        <v>85.97023761673104</v>
      </c>
      <c r="FC46" s="164">
        <f t="shared" si="75"/>
        <v>78.549584671654699</v>
      </c>
      <c r="FD46" s="164">
        <f t="shared" si="75"/>
        <v>71.769456769404968</v>
      </c>
      <c r="FE46" s="164">
        <f t="shared" si="75"/>
        <v>65.574566008293857</v>
      </c>
      <c r="FF46" s="164">
        <f t="shared" si="75"/>
        <v>59.914396746683629</v>
      </c>
      <c r="FG46" s="164">
        <f t="shared" si="75"/>
        <v>54.742793678039511</v>
      </c>
    </row>
    <row r="47" spans="2:163" ht="13" x14ac:dyDescent="0.3">
      <c r="B47" s="420">
        <v>1</v>
      </c>
      <c r="C47" s="493" t="s">
        <v>289</v>
      </c>
      <c r="D47" s="493"/>
      <c r="E47" s="493"/>
      <c r="F47" s="493"/>
      <c r="G47" s="493"/>
      <c r="H47" s="493"/>
      <c r="AG47" s="9">
        <v>4.5</v>
      </c>
      <c r="AH47" s="252">
        <v>5</v>
      </c>
      <c r="AI47" t="s">
        <v>198</v>
      </c>
      <c r="AO47" s="7"/>
      <c r="AY47" s="12"/>
      <c r="BE47" s="368" t="s">
        <v>208</v>
      </c>
      <c r="CD47" s="37"/>
      <c r="CE47" s="37"/>
      <c r="CH47"/>
      <c r="CI47"/>
      <c r="CJ47" s="55"/>
      <c r="CL47" s="14"/>
      <c r="DL47" s="31"/>
      <c r="EI47" s="273">
        <f t="shared" si="73"/>
        <v>40756</v>
      </c>
      <c r="EX47" s="162">
        <f>EI18</f>
        <v>1752.432480201202</v>
      </c>
      <c r="EY47" s="17">
        <f t="shared" si="74"/>
        <v>1601.1685823017076</v>
      </c>
      <c r="EZ47" s="17">
        <f t="shared" si="74"/>
        <v>146.29612598002686</v>
      </c>
      <c r="FA47" s="17">
        <f t="shared" si="74"/>
        <v>133.66835143615762</v>
      </c>
      <c r="FB47" s="17">
        <f t="shared" si="75"/>
        <v>122.13056262405385</v>
      </c>
      <c r="FC47" s="164">
        <f t="shared" si="75"/>
        <v>111.58867575315332</v>
      </c>
      <c r="FD47" s="164">
        <f t="shared" si="75"/>
        <v>101.95672801960824</v>
      </c>
      <c r="FE47" s="164">
        <f t="shared" si="75"/>
        <v>93.156176630858667</v>
      </c>
      <c r="FF47" s="164">
        <f t="shared" si="75"/>
        <v>85.115258335975412</v>
      </c>
      <c r="FG47" s="164">
        <f t="shared" si="75"/>
        <v>77.768404239123768</v>
      </c>
    </row>
    <row r="48" spans="2:163" ht="13" customHeight="1" x14ac:dyDescent="0.35">
      <c r="B48" s="420">
        <v>2</v>
      </c>
      <c r="C48" s="493" t="s">
        <v>291</v>
      </c>
      <c r="D48" s="493"/>
      <c r="E48" s="493"/>
      <c r="F48" s="493"/>
      <c r="G48" s="493"/>
      <c r="H48" s="493"/>
      <c r="AG48" s="9">
        <v>5</v>
      </c>
      <c r="AH48" s="322">
        <v>5</v>
      </c>
      <c r="AI48" s="379" t="s">
        <v>252</v>
      </c>
      <c r="AJ48" s="235"/>
      <c r="AK48" s="12"/>
      <c r="AL48" s="12"/>
      <c r="AM48" s="12"/>
      <c r="AN48" s="12"/>
      <c r="AO48" s="12"/>
      <c r="AP48" s="12"/>
      <c r="AQ48" s="12"/>
      <c r="AR48" s="12"/>
      <c r="AS48" s="12"/>
      <c r="AT48" s="12"/>
      <c r="AU48" s="12"/>
      <c r="AV48" s="12"/>
      <c r="AW48" s="12"/>
      <c r="AX48" s="12"/>
      <c r="AY48" s="12"/>
      <c r="BC48" s="276" t="s">
        <v>208</v>
      </c>
      <c r="BO48" s="6" t="s">
        <v>15</v>
      </c>
      <c r="BW48"/>
      <c r="BX48"/>
      <c r="BY48"/>
      <c r="BZ48"/>
      <c r="CA48"/>
      <c r="CD48" s="37"/>
      <c r="CE48" s="37"/>
      <c r="CH48"/>
      <c r="CI48"/>
      <c r="CJ48" s="55"/>
      <c r="CL48" s="143"/>
      <c r="DL48" s="31"/>
      <c r="EI48" s="273">
        <f t="shared" si="73"/>
        <v>40770</v>
      </c>
      <c r="EY48" s="162">
        <f>EI19</f>
        <v>2365.9084100667956</v>
      </c>
      <c r="EZ48" s="17">
        <f t="shared" si="74"/>
        <v>216.16913961600397</v>
      </c>
      <c r="FA48" s="17">
        <f t="shared" si="74"/>
        <v>197.5101687093802</v>
      </c>
      <c r="FB48" s="17">
        <f t="shared" si="75"/>
        <v>180.46177550090837</v>
      </c>
      <c r="FC48" s="17">
        <f t="shared" si="75"/>
        <v>164.88494050581812</v>
      </c>
      <c r="FD48" s="164">
        <f t="shared" si="75"/>
        <v>150.65264391943396</v>
      </c>
      <c r="FE48" s="164">
        <f t="shared" si="75"/>
        <v>137.64882984637947</v>
      </c>
      <c r="FF48" s="164">
        <f t="shared" si="75"/>
        <v>125.76745993392666</v>
      </c>
      <c r="FG48" s="164">
        <f t="shared" si="75"/>
        <v>114.91164869243447</v>
      </c>
    </row>
    <row r="49" spans="2:163" ht="13" x14ac:dyDescent="0.3">
      <c r="B49" s="420">
        <v>3</v>
      </c>
      <c r="C49" s="493" t="s">
        <v>290</v>
      </c>
      <c r="D49" s="493"/>
      <c r="E49" s="493"/>
      <c r="F49" s="493"/>
      <c r="G49" s="493"/>
      <c r="H49" s="493"/>
      <c r="AG49" s="325">
        <v>0.05</v>
      </c>
      <c r="AH49" s="342">
        <v>0.55000000000000004</v>
      </c>
      <c r="AI49" s="371" t="s">
        <v>338</v>
      </c>
      <c r="BO49" s="256" t="s">
        <v>16</v>
      </c>
      <c r="BP49" t="s">
        <v>117</v>
      </c>
      <c r="BW49"/>
      <c r="BX49"/>
      <c r="BY49"/>
      <c r="BZ49"/>
      <c r="CA49" s="42"/>
      <c r="CH49"/>
      <c r="CI49"/>
      <c r="CJ49" s="55"/>
      <c r="CL49" s="14"/>
      <c r="DL49" s="31"/>
      <c r="DO49" s="95"/>
      <c r="DP49" s="396"/>
      <c r="DQ49" s="95"/>
      <c r="EI49" s="273">
        <f t="shared" si="73"/>
        <v>40787</v>
      </c>
      <c r="EZ49" s="162">
        <f>EI20</f>
        <v>297.15998784694631</v>
      </c>
      <c r="FA49" s="17">
        <f t="shared" ref="FA49:FG50" si="76">EZ49*(1-EZ$32)*EXP($BV$38*15)</f>
        <v>271.51016762886024</v>
      </c>
      <c r="FB49" s="17">
        <f t="shared" si="76"/>
        <v>248.07435099176436</v>
      </c>
      <c r="FC49" s="17">
        <f t="shared" si="76"/>
        <v>226.66143282010773</v>
      </c>
      <c r="FD49" s="164">
        <f t="shared" si="76"/>
        <v>207.09680352955871</v>
      </c>
      <c r="FE49" s="164">
        <f t="shared" si="76"/>
        <v>189.22092522992222</v>
      </c>
      <c r="FF49" s="164">
        <f t="shared" si="76"/>
        <v>172.88803078873917</v>
      </c>
      <c r="FG49" s="164">
        <f t="shared" si="76"/>
        <v>157.96493518720709</v>
      </c>
    </row>
    <row r="50" spans="2:163" ht="13" x14ac:dyDescent="0.3">
      <c r="B50" s="420">
        <v>4</v>
      </c>
      <c r="C50" s="493" t="s">
        <v>292</v>
      </c>
      <c r="D50" s="493"/>
      <c r="E50" s="493"/>
      <c r="F50" s="493"/>
      <c r="G50" s="493"/>
      <c r="H50" s="493"/>
      <c r="AI50" s="386"/>
      <c r="AR50" s="256"/>
      <c r="AS50" s="256"/>
      <c r="BW50"/>
      <c r="BX50"/>
      <c r="BY50"/>
      <c r="BZ50" s="18"/>
      <c r="CA50" s="18"/>
      <c r="CH50"/>
      <c r="CI50"/>
      <c r="CJ50" s="55"/>
      <c r="CL50" s="14"/>
      <c r="DL50" s="31"/>
      <c r="DO50" s="95"/>
      <c r="DP50" s="396"/>
      <c r="DQ50" s="95"/>
      <c r="EI50" s="273">
        <f t="shared" si="73"/>
        <v>40801</v>
      </c>
      <c r="FA50" s="162">
        <f>EI21</f>
        <v>656.82450259608243</v>
      </c>
      <c r="FB50" s="17">
        <f t="shared" si="76"/>
        <v>600.12968803342778</v>
      </c>
      <c r="FC50" s="17">
        <f t="shared" si="76"/>
        <v>548.32857336410746</v>
      </c>
      <c r="FD50" s="17">
        <f t="shared" si="76"/>
        <v>500.99875137450306</v>
      </c>
      <c r="FE50" s="164">
        <f t="shared" si="76"/>
        <v>457.75427557764601</v>
      </c>
      <c r="FF50" s="164">
        <f t="shared" si="76"/>
        <v>418.24251304966305</v>
      </c>
      <c r="FG50" s="164">
        <f t="shared" si="76"/>
        <v>382.14126891847201</v>
      </c>
    </row>
    <row r="51" spans="2:163" ht="13" x14ac:dyDescent="0.3">
      <c r="B51" s="420" t="s">
        <v>322</v>
      </c>
      <c r="C51" s="493" t="s">
        <v>361</v>
      </c>
      <c r="D51" s="493"/>
      <c r="E51" s="493"/>
      <c r="F51" s="493"/>
      <c r="G51" s="493"/>
      <c r="H51" s="493"/>
      <c r="AI51" s="386"/>
      <c r="BB51" s="302"/>
      <c r="BC51" s="131"/>
      <c r="BD51" t="s">
        <v>340</v>
      </c>
      <c r="BO51" s="6" t="s">
        <v>18</v>
      </c>
      <c r="CH51"/>
      <c r="CI51"/>
      <c r="CJ51" s="55"/>
      <c r="CL51" s="14"/>
      <c r="DL51" s="31"/>
      <c r="DM51" s="369"/>
      <c r="DO51" s="95"/>
      <c r="DP51" s="396"/>
      <c r="DQ51" s="95"/>
      <c r="EH51" s="369"/>
      <c r="EI51" s="273">
        <f t="shared" si="73"/>
        <v>40817</v>
      </c>
      <c r="FB51" s="162">
        <f>EI22</f>
        <v>810.87384825189793</v>
      </c>
      <c r="FC51" s="17">
        <f>FB51*(1-FB$32)*EXP($BV$38*15)</f>
        <v>740.88202809500217</v>
      </c>
      <c r="FD51" s="17">
        <f>FC51*(1-FC$32)*EXP($BV$38*15)</f>
        <v>676.9316592679728</v>
      </c>
      <c r="FE51" s="17">
        <f>FD51*(1-FD$32)*EXP($BV$38*15)</f>
        <v>618.501264631205</v>
      </c>
      <c r="FF51" s="164">
        <f>FE51*(1-FE$32)*EXP($BV$38*15)</f>
        <v>565.11437914438659</v>
      </c>
      <c r="FG51" s="164">
        <f>FF51*(1-FF$32)*EXP($BV$38*15)</f>
        <v>516.33566457809513</v>
      </c>
    </row>
    <row r="52" spans="2:163" ht="13" x14ac:dyDescent="0.3">
      <c r="BP52" s="8"/>
      <c r="BQ52" s="8"/>
      <c r="BU52" t="s">
        <v>34</v>
      </c>
      <c r="BV52" t="s">
        <v>258</v>
      </c>
      <c r="BW52" t="s">
        <v>257</v>
      </c>
      <c r="CH52"/>
      <c r="CI52"/>
      <c r="CJ52" s="55"/>
      <c r="CL52" s="14"/>
      <c r="DL52" s="31"/>
      <c r="DO52" s="95"/>
      <c r="DP52" s="396"/>
      <c r="DQ52" s="95"/>
      <c r="EH52" s="369"/>
      <c r="EI52" s="273">
        <f t="shared" si="73"/>
        <v>40831</v>
      </c>
      <c r="FC52" s="162">
        <f>EI23</f>
        <v>777.97597798341508</v>
      </c>
      <c r="FD52" s="17">
        <f>FC52*(1-FC$32)*EXP($BV$38*15)</f>
        <v>710.82378796669536</v>
      </c>
      <c r="FE52" s="17">
        <f>FD52*(1-FD$32)*EXP($BV$38*15)</f>
        <v>649.46794224807388</v>
      </c>
      <c r="FF52" s="17">
        <f>FE52*(1-FE$32)*EXP($BV$38*15)</f>
        <v>593.40812047740678</v>
      </c>
      <c r="FG52" s="164">
        <f>FF52*(1-FF$32)*EXP($BV$38*15)</f>
        <v>542.18718822310416</v>
      </c>
    </row>
    <row r="53" spans="2:163" ht="13" x14ac:dyDescent="0.3">
      <c r="AK53" s="255"/>
      <c r="AL53" s="255"/>
      <c r="AM53" s="255"/>
      <c r="BD53" s="237"/>
      <c r="BE53" s="237"/>
      <c r="BF53" s="237"/>
      <c r="BG53" s="237"/>
      <c r="BK53" s="7"/>
      <c r="BL53" s="60"/>
      <c r="BM53" s="5"/>
      <c r="BO53" t="s">
        <v>20</v>
      </c>
      <c r="BP53" s="44">
        <f>BP29</f>
        <v>1.3774999999999999</v>
      </c>
      <c r="BQ53" t="s">
        <v>21</v>
      </c>
      <c r="BU53">
        <v>0</v>
      </c>
      <c r="BV53" s="371">
        <f>BU53+12</f>
        <v>12</v>
      </c>
      <c r="BW53" s="29">
        <f>$BP$57/BV53</f>
        <v>2.6536295761255119E-2</v>
      </c>
      <c r="CH53"/>
      <c r="CI53"/>
      <c r="CJ53" s="55"/>
      <c r="CL53" s="14"/>
      <c r="DL53" s="31"/>
      <c r="DM53" s="369"/>
      <c r="DO53" s="95"/>
      <c r="DP53" s="396"/>
      <c r="DQ53" s="95"/>
      <c r="EH53" s="369"/>
      <c r="EI53" s="273">
        <f t="shared" si="73"/>
        <v>40848</v>
      </c>
      <c r="FD53" s="162">
        <f>EI24</f>
        <v>0</v>
      </c>
      <c r="FE53" s="17">
        <f>FD53*(1-FD$32)*EXP($BV$38*15)</f>
        <v>0</v>
      </c>
      <c r="FF53" s="17">
        <f>FE53*(1-FE$32)*EXP($BV$38*15)</f>
        <v>0</v>
      </c>
      <c r="FG53" s="17">
        <f>FF53*(1-FF$32)*EXP($BV$38*15)</f>
        <v>0</v>
      </c>
    </row>
    <row r="54" spans="2:163" ht="13" customHeight="1" x14ac:dyDescent="0.3">
      <c r="BO54" t="s">
        <v>23</v>
      </c>
      <c r="BP54" s="45">
        <f>BP30</f>
        <v>0.7</v>
      </c>
      <c r="BQ54" t="s">
        <v>24</v>
      </c>
      <c r="BU54">
        <v>1</v>
      </c>
      <c r="BV54" s="371">
        <f t="shared" ref="BV54:BV68" si="77">BU54+12</f>
        <v>13</v>
      </c>
      <c r="BW54" s="29">
        <f t="shared" ref="BW54:BW68" si="78">$BP$57/BV54</f>
        <v>2.4495042241158574E-2</v>
      </c>
      <c r="CH54"/>
      <c r="CI54"/>
      <c r="CJ54" s="55"/>
      <c r="CL54" s="14"/>
      <c r="DL54" s="31"/>
      <c r="DO54"/>
      <c r="DP54" s="395"/>
      <c r="DQ54"/>
      <c r="EI54" s="273">
        <f t="shared" si="73"/>
        <v>40862</v>
      </c>
      <c r="FE54" s="162">
        <f>EI25</f>
        <v>0</v>
      </c>
      <c r="FF54" s="17">
        <f>FE54*(1-FE$32)*EXP($BV$38*15)</f>
        <v>0</v>
      </c>
      <c r="FG54" s="17">
        <f>FF54*(1-FF$32)*EXP($BV$38*15)</f>
        <v>0</v>
      </c>
    </row>
    <row r="55" spans="2:163" ht="13" customHeight="1" x14ac:dyDescent="0.3">
      <c r="AG55" s="459" t="s">
        <v>146</v>
      </c>
      <c r="AH55" s="459"/>
      <c r="AI55" s="12" t="s">
        <v>157</v>
      </c>
      <c r="AN55" s="6"/>
      <c r="AP55" s="6"/>
      <c r="AY55" s="372">
        <f>(LN(BA21/BA11))/(AZ21-AZ11)</f>
        <v>1.1208891600507059E-2</v>
      </c>
      <c r="BN55" s="77"/>
      <c r="BO55" t="s">
        <v>23</v>
      </c>
      <c r="BP55" s="106">
        <v>0.7</v>
      </c>
      <c r="BQ55" t="s">
        <v>22</v>
      </c>
      <c r="BU55">
        <v>2</v>
      </c>
      <c r="BV55" s="371">
        <f t="shared" si="77"/>
        <v>14</v>
      </c>
      <c r="BW55" s="29">
        <f t="shared" si="78"/>
        <v>2.2745396366790103E-2</v>
      </c>
      <c r="CH55"/>
      <c r="CI55"/>
      <c r="CJ55" s="55"/>
      <c r="CL55" s="14"/>
      <c r="DL55" s="31"/>
      <c r="EI55" s="273">
        <f t="shared" si="73"/>
        <v>40878</v>
      </c>
      <c r="FF55" s="162">
        <f>EI26</f>
        <v>0</v>
      </c>
      <c r="FG55" s="17">
        <f>FF55*(1-FF$32)*EXP($BV$38*15)</f>
        <v>0</v>
      </c>
    </row>
    <row r="56" spans="2:163" ht="13" x14ac:dyDescent="0.3">
      <c r="AG56" s="6" t="s">
        <v>158</v>
      </c>
      <c r="AK56" s="255"/>
      <c r="BJ56" s="255"/>
      <c r="BK56" s="255"/>
      <c r="BL56" s="255"/>
      <c r="BM56" s="255"/>
      <c r="BN56" s="77"/>
      <c r="BO56" t="s">
        <v>105</v>
      </c>
      <c r="BP56" s="82">
        <f>(1+($BP$53*$BP$54))*$BP$55</f>
        <v>1.3749749999999998</v>
      </c>
      <c r="BQ56" s="82"/>
      <c r="BU56">
        <v>3</v>
      </c>
      <c r="BV56" s="371">
        <f t="shared" si="77"/>
        <v>15</v>
      </c>
      <c r="BW56" s="29">
        <f t="shared" si="78"/>
        <v>2.1229036609004097E-2</v>
      </c>
      <c r="CH56"/>
      <c r="CI56"/>
      <c r="CJ56" s="55"/>
      <c r="DL56" s="31"/>
      <c r="EI56" s="273">
        <f t="shared" si="73"/>
        <v>40892</v>
      </c>
      <c r="EO56" s="26"/>
      <c r="FG56" s="162">
        <f>EI27</f>
        <v>0</v>
      </c>
    </row>
    <row r="57" spans="2:163" ht="13" customHeight="1" x14ac:dyDescent="0.3">
      <c r="AG57" t="s">
        <v>153</v>
      </c>
      <c r="AN57" s="16"/>
      <c r="BJ57" s="255"/>
      <c r="BK57" s="255"/>
      <c r="BL57" s="255"/>
      <c r="BM57" s="255"/>
      <c r="BO57" s="256" t="s">
        <v>26</v>
      </c>
      <c r="BP57" s="7">
        <f>LN(BP56)</f>
        <v>0.31843554913506145</v>
      </c>
      <c r="BU57">
        <v>4</v>
      </c>
      <c r="BV57" s="371">
        <f t="shared" si="77"/>
        <v>16</v>
      </c>
      <c r="BW57" s="29">
        <f t="shared" si="78"/>
        <v>1.990222182094134E-2</v>
      </c>
      <c r="CH57"/>
      <c r="CI57"/>
      <c r="CJ57" s="55"/>
      <c r="DL57" s="31"/>
      <c r="EI57" s="165" t="s">
        <v>181</v>
      </c>
      <c r="EJ57" s="165"/>
      <c r="EK57" s="165"/>
      <c r="EL57" s="165"/>
      <c r="EM57" s="165"/>
      <c r="EN57" s="165"/>
      <c r="EO57" s="166">
        <f>SUM(EO33)</f>
        <v>31.83822401543868</v>
      </c>
      <c r="EP57" s="166">
        <f>SUM(EP33:EP34)</f>
        <v>34.059788993392985</v>
      </c>
      <c r="EQ57" s="166">
        <f>SUM(EQ33:EQ35)</f>
        <v>42.512434672624074</v>
      </c>
      <c r="ER57" s="166">
        <f>SUM(ER33:ER36)</f>
        <v>56.526877866776601</v>
      </c>
      <c r="ES57" s="166">
        <f>SUM(ES33:ES37)</f>
        <v>76.041304913156168</v>
      </c>
      <c r="ET57" s="166">
        <f>SUM(ET33:ET38)</f>
        <v>111.35120776135454</v>
      </c>
      <c r="EU57" s="166">
        <f>SUM(EU33:EU39)</f>
        <v>175.5718205572926</v>
      </c>
      <c r="EV57" s="166">
        <f>SUM(EV33:EV40)</f>
        <v>271.80382254049317</v>
      </c>
      <c r="EW57" s="166">
        <f>SUM(EW33:EW41)</f>
        <v>424.64562812137558</v>
      </c>
      <c r="EX57" s="166">
        <f>SUM(EX33:EX42)</f>
        <v>643.01734403056776</v>
      </c>
      <c r="EY57" s="166">
        <f>SUM(EY33:EY43)</f>
        <v>945.91249938134365</v>
      </c>
      <c r="EZ57" s="166">
        <f>SUM(EZ33:EZ44)</f>
        <v>135.98516468024133</v>
      </c>
      <c r="FA57" s="166">
        <f>SUM(FA33:FA45)</f>
        <v>191.03323662923785</v>
      </c>
      <c r="FB57" s="166">
        <f>SUM(FB33:FB46)</f>
        <v>260.51414736612395</v>
      </c>
      <c r="FC57" s="166">
        <f>SUM(FC33:FC47)</f>
        <v>349.61614483992992</v>
      </c>
      <c r="FD57" s="166">
        <f>SUM(FD33:FD48)</f>
        <v>470.09113487850777</v>
      </c>
      <c r="FE57" s="166">
        <f>SUM(FE33:FE49)</f>
        <v>618.73542264416892</v>
      </c>
      <c r="FF57" s="166">
        <f>SUM(FF33:FF50)</f>
        <v>983.57083849890751</v>
      </c>
      <c r="FG57" s="166">
        <f>SUM(FG33:FG51)</f>
        <v>1415.0080772760057</v>
      </c>
    </row>
    <row r="58" spans="2:163" ht="13" x14ac:dyDescent="0.3">
      <c r="AG58" t="s">
        <v>147</v>
      </c>
      <c r="BO58" s="256" t="s">
        <v>27</v>
      </c>
      <c r="BP58" s="6">
        <f>BP57/12</f>
        <v>2.6536295761255119E-2</v>
      </c>
      <c r="BU58">
        <v>5</v>
      </c>
      <c r="BV58" s="371">
        <f t="shared" si="77"/>
        <v>17</v>
      </c>
      <c r="BW58" s="79">
        <f t="shared" si="78"/>
        <v>1.8731502890297732E-2</v>
      </c>
      <c r="BX58" s="488" t="s">
        <v>259</v>
      </c>
      <c r="CH58"/>
      <c r="CI58"/>
      <c r="CJ58" s="55"/>
      <c r="EI58" t="s">
        <v>182</v>
      </c>
      <c r="EJ58" s="17">
        <f t="shared" ref="EJ58:FG58" si="79">SUM(EJ33:EJ56)</f>
        <v>50</v>
      </c>
      <c r="EK58" s="17">
        <f t="shared" si="79"/>
        <v>53.488833071965715</v>
      </c>
      <c r="EL58" s="17">
        <f t="shared" si="79"/>
        <v>66.763200503912145</v>
      </c>
      <c r="EM58" s="17">
        <f t="shared" si="79"/>
        <v>88.772033640077012</v>
      </c>
      <c r="EN58" s="17">
        <f t="shared" si="79"/>
        <v>119.41825787186335</v>
      </c>
      <c r="EO58" s="17">
        <f t="shared" si="79"/>
        <v>174.8703189401507</v>
      </c>
      <c r="EP58" s="17">
        <f t="shared" si="79"/>
        <v>275.72489670302599</v>
      </c>
      <c r="EQ58" s="17">
        <f t="shared" si="79"/>
        <v>426.85141986671857</v>
      </c>
      <c r="ER58" s="17">
        <f t="shared" si="79"/>
        <v>666.88020650187741</v>
      </c>
      <c r="ES58" s="17">
        <f t="shared" si="79"/>
        <v>1009.8197432726809</v>
      </c>
      <c r="ET58" s="17">
        <f t="shared" si="79"/>
        <v>1485.4982157966176</v>
      </c>
      <c r="EU58" s="17">
        <f t="shared" si="79"/>
        <v>2135.5645436488662</v>
      </c>
      <c r="EV58" s="17">
        <f t="shared" si="79"/>
        <v>3000.0611299267812</v>
      </c>
      <c r="EW58" s="17">
        <f t="shared" si="79"/>
        <v>4091.2166966316654</v>
      </c>
      <c r="EX58" s="17">
        <f t="shared" si="79"/>
        <v>5490.5095314110094</v>
      </c>
      <c r="EY58" s="17">
        <f t="shared" si="79"/>
        <v>7382.4961883953692</v>
      </c>
      <c r="EZ58" s="17">
        <f t="shared" si="79"/>
        <v>971.68645830266451</v>
      </c>
      <c r="FA58" s="17">
        <f t="shared" si="79"/>
        <v>1544.6383536059739</v>
      </c>
      <c r="FB58" s="17">
        <f t="shared" si="79"/>
        <v>2222.1843727681762</v>
      </c>
      <c r="FC58" s="17">
        <f t="shared" si="79"/>
        <v>2808.3490976083804</v>
      </c>
      <c r="FD58" s="17">
        <f t="shared" si="79"/>
        <v>2565.9421370172377</v>
      </c>
      <c r="FE58" s="17">
        <f t="shared" si="79"/>
        <v>2344.4589051010939</v>
      </c>
      <c r="FF58" s="17">
        <f t="shared" si="79"/>
        <v>2142.0933381207005</v>
      </c>
      <c r="FG58" s="17">
        <f t="shared" si="79"/>
        <v>1957.1952654991098</v>
      </c>
    </row>
    <row r="59" spans="2:163" ht="13" x14ac:dyDescent="0.3">
      <c r="AN59" s="86"/>
      <c r="AO59" s="86"/>
      <c r="AP59" s="86"/>
      <c r="BO59" s="256" t="s">
        <v>106</v>
      </c>
      <c r="BP59">
        <f>BP57/17</f>
        <v>1.8731502890297732E-2</v>
      </c>
      <c r="BQ59" s="12"/>
      <c r="BU59">
        <v>6</v>
      </c>
      <c r="BV59" s="371">
        <f t="shared" si="77"/>
        <v>18</v>
      </c>
      <c r="BW59" s="79">
        <f t="shared" si="78"/>
        <v>1.7690863840836749E-2</v>
      </c>
      <c r="BX59" s="488"/>
      <c r="CH59"/>
      <c r="CI59"/>
      <c r="CJ59" s="55"/>
      <c r="EI59" t="s">
        <v>183</v>
      </c>
      <c r="EJ59" s="37">
        <f t="shared" ref="EJ59:FG59" si="80">IF(EJ58=0,0,IF(EJ57/EJ58=1,0.99,EJ57/EJ58))</f>
        <v>0</v>
      </c>
      <c r="EK59" s="37">
        <f t="shared" si="80"/>
        <v>0</v>
      </c>
      <c r="EL59" s="37">
        <f t="shared" si="80"/>
        <v>0</v>
      </c>
      <c r="EM59" s="37">
        <f t="shared" si="80"/>
        <v>0</v>
      </c>
      <c r="EN59" s="37">
        <f t="shared" si="80"/>
        <v>0</v>
      </c>
      <c r="EO59" s="37">
        <f t="shared" si="80"/>
        <v>0.18206762707589788</v>
      </c>
      <c r="EP59" s="37">
        <f t="shared" si="80"/>
        <v>0.12352815941056508</v>
      </c>
      <c r="EQ59" s="37">
        <f t="shared" si="80"/>
        <v>9.9595392433972196E-2</v>
      </c>
      <c r="ER59" s="37">
        <f t="shared" si="80"/>
        <v>8.4763166331309411E-2</v>
      </c>
      <c r="ES59" s="37">
        <f t="shared" si="80"/>
        <v>7.5301859980195285E-2</v>
      </c>
      <c r="ET59" s="37">
        <f t="shared" si="80"/>
        <v>7.4958829689095938E-2</v>
      </c>
      <c r="EU59" s="37">
        <f t="shared" si="80"/>
        <v>8.2213305647651946E-2</v>
      </c>
      <c r="EV59" s="37">
        <f t="shared" si="80"/>
        <v>9.0599428068029647E-2</v>
      </c>
      <c r="EW59" s="37">
        <f t="shared" si="80"/>
        <v>0.10379446008591774</v>
      </c>
      <c r="EX59" s="37">
        <f t="shared" si="80"/>
        <v>0.11711432979979151</v>
      </c>
      <c r="EY59" s="37">
        <f t="shared" si="80"/>
        <v>0.12812908740382886</v>
      </c>
      <c r="EZ59" s="37">
        <f t="shared" si="80"/>
        <v>0.13994757621484127</v>
      </c>
      <c r="FA59" s="37">
        <f t="shared" si="80"/>
        <v>0.12367505713118467</v>
      </c>
      <c r="FB59" s="37">
        <f t="shared" si="80"/>
        <v>0.11723336306321035</v>
      </c>
      <c r="FC59" s="37">
        <f t="shared" si="80"/>
        <v>0.12449169696803959</v>
      </c>
      <c r="FD59" s="37">
        <f t="shared" si="80"/>
        <v>0.1832041058513354</v>
      </c>
      <c r="FE59" s="37">
        <f t="shared" si="80"/>
        <v>0.26391395528320799</v>
      </c>
      <c r="FF59" s="37">
        <f t="shared" si="80"/>
        <v>0.45916338984640742</v>
      </c>
      <c r="FG59" s="37">
        <f t="shared" si="80"/>
        <v>0.72297746792022843</v>
      </c>
    </row>
    <row r="60" spans="2:163" ht="13" customHeight="1" x14ac:dyDescent="0.3">
      <c r="AG60" s="380" t="s">
        <v>88</v>
      </c>
      <c r="AH60" s="257" t="s">
        <v>148</v>
      </c>
      <c r="AW60" s="53" t="s">
        <v>33</v>
      </c>
      <c r="AX60" s="53"/>
      <c r="AY60" s="256"/>
      <c r="BA60" s="256"/>
      <c r="BU60">
        <v>7</v>
      </c>
      <c r="BV60" s="371">
        <f t="shared" si="77"/>
        <v>19</v>
      </c>
      <c r="BW60" s="79">
        <f t="shared" si="78"/>
        <v>1.6759765743950602E-2</v>
      </c>
      <c r="BX60" s="488"/>
      <c r="EI60" s="20"/>
    </row>
    <row r="61" spans="2:163" ht="13" x14ac:dyDescent="0.3">
      <c r="AG61" s="29">
        <v>2.4E-2</v>
      </c>
      <c r="AH61" s="18">
        <f>(LN(2))/AG61</f>
        <v>28.881132523331054</v>
      </c>
      <c r="AN61" s="255"/>
      <c r="AX61" s="256" t="s">
        <v>35</v>
      </c>
      <c r="AY61" s="256" t="s">
        <v>262</v>
      </c>
      <c r="AZ61" s="67" t="s">
        <v>17</v>
      </c>
      <c r="BA61" s="256"/>
      <c r="BO61" s="6" t="s">
        <v>19</v>
      </c>
      <c r="BR61" s="379"/>
      <c r="BU61">
        <v>8</v>
      </c>
      <c r="BV61" s="371">
        <f t="shared" si="77"/>
        <v>20</v>
      </c>
      <c r="BW61" s="79">
        <f t="shared" si="78"/>
        <v>1.5921777456753071E-2</v>
      </c>
      <c r="BX61" s="488"/>
    </row>
    <row r="62" spans="2:163" x14ac:dyDescent="0.25">
      <c r="AG62" s="29">
        <f t="shared" ref="AG62:AG83" si="81">AG61-0.001</f>
        <v>2.3E-2</v>
      </c>
      <c r="AH62" s="18">
        <f t="shared" ref="AH62:AH83" si="82">(LN(2))/AG62</f>
        <v>30.136833937388925</v>
      </c>
      <c r="BN62" s="489" t="s">
        <v>112</v>
      </c>
      <c r="BO62" s="82" t="s">
        <v>20</v>
      </c>
      <c r="BP62" s="44">
        <f>BP31</f>
        <v>3.5</v>
      </c>
      <c r="BQ62" s="12" t="s">
        <v>21</v>
      </c>
      <c r="BR62" s="379"/>
      <c r="BU62">
        <v>9</v>
      </c>
      <c r="BV62" s="371">
        <f t="shared" si="77"/>
        <v>21</v>
      </c>
      <c r="BW62" s="79">
        <f t="shared" si="78"/>
        <v>1.516359757786007E-2</v>
      </c>
      <c r="BX62" s="488"/>
    </row>
    <row r="63" spans="2:163" ht="13" x14ac:dyDescent="0.3">
      <c r="AG63" s="29">
        <f t="shared" si="81"/>
        <v>2.1999999999999999E-2</v>
      </c>
      <c r="AH63" s="18">
        <f t="shared" si="82"/>
        <v>31.506690025452059</v>
      </c>
      <c r="AX63" s="256"/>
      <c r="AZ63" s="36"/>
      <c r="BN63" s="489"/>
      <c r="BO63" s="82" t="s">
        <v>23</v>
      </c>
      <c r="BP63" s="46">
        <f>BP32</f>
        <v>0.7</v>
      </c>
      <c r="BQ63" t="s">
        <v>25</v>
      </c>
      <c r="BR63" s="48"/>
      <c r="BU63">
        <v>10</v>
      </c>
      <c r="BV63" s="371">
        <f t="shared" si="77"/>
        <v>22</v>
      </c>
      <c r="BW63" s="79">
        <f t="shared" si="78"/>
        <v>1.4474343142502793E-2</v>
      </c>
      <c r="BX63" s="488"/>
    </row>
    <row r="64" spans="2:163" ht="13" x14ac:dyDescent="0.3">
      <c r="AG64" s="29">
        <f t="shared" si="81"/>
        <v>2.0999999999999998E-2</v>
      </c>
      <c r="AH64" s="18">
        <f t="shared" si="82"/>
        <v>33.007008598092639</v>
      </c>
      <c r="AU64" s="68"/>
      <c r="AV64" s="68"/>
      <c r="AX64" s="101" t="s">
        <v>261</v>
      </c>
      <c r="AY64">
        <v>1993</v>
      </c>
      <c r="AZ64" s="34">
        <v>3.0571428571428572E-2</v>
      </c>
      <c r="BN64" s="489"/>
      <c r="BO64" s="82" t="s">
        <v>107</v>
      </c>
      <c r="BP64" s="44">
        <v>0.7</v>
      </c>
      <c r="BQ64" t="s">
        <v>22</v>
      </c>
      <c r="BU64">
        <v>11</v>
      </c>
      <c r="BV64" s="371">
        <f t="shared" si="77"/>
        <v>23</v>
      </c>
      <c r="BW64" s="79">
        <f t="shared" si="78"/>
        <v>1.3845023875437455E-2</v>
      </c>
      <c r="BX64" s="488"/>
    </row>
    <row r="65" spans="33:148" ht="13" x14ac:dyDescent="0.3">
      <c r="AG65" s="29">
        <f t="shared" si="81"/>
        <v>1.9999999999999997E-2</v>
      </c>
      <c r="AH65" s="18">
        <f t="shared" si="82"/>
        <v>34.657359027997266</v>
      </c>
      <c r="AU65" s="144"/>
      <c r="AV65" s="144"/>
      <c r="AX65" s="101" t="s">
        <v>254</v>
      </c>
      <c r="AY65">
        <v>2007</v>
      </c>
      <c r="AZ65" s="34">
        <v>2.7285714285714285E-2</v>
      </c>
      <c r="BO65" t="s">
        <v>105</v>
      </c>
      <c r="BP65">
        <f>(1+(BP62*BP63))*BP64</f>
        <v>2.4149999999999996</v>
      </c>
      <c r="BU65">
        <v>12</v>
      </c>
      <c r="BV65" s="371">
        <f t="shared" si="77"/>
        <v>24</v>
      </c>
      <c r="BW65" s="79">
        <f t="shared" si="78"/>
        <v>1.326814788062756E-2</v>
      </c>
      <c r="BX65" s="488"/>
    </row>
    <row r="66" spans="33:148" ht="13" x14ac:dyDescent="0.3">
      <c r="AG66" s="29">
        <f t="shared" si="81"/>
        <v>1.8999999999999996E-2</v>
      </c>
      <c r="AH66" s="18">
        <f t="shared" si="82"/>
        <v>36.481430555786602</v>
      </c>
      <c r="AR66" s="286"/>
      <c r="AS66" s="286"/>
      <c r="AT66" s="286"/>
      <c r="AU66" s="287"/>
      <c r="AV66" s="287"/>
      <c r="AW66" s="286"/>
      <c r="AX66" s="288" t="s">
        <v>37</v>
      </c>
      <c r="AZ66" s="36">
        <v>2.3E-2</v>
      </c>
      <c r="BO66" s="256" t="s">
        <v>26</v>
      </c>
      <c r="BP66">
        <f>LN(BP65)</f>
        <v>0.88169928710453582</v>
      </c>
      <c r="BU66">
        <v>13</v>
      </c>
      <c r="BV66" s="371">
        <f t="shared" si="77"/>
        <v>25</v>
      </c>
      <c r="BW66" s="79">
        <f t="shared" si="78"/>
        <v>1.2737421965402458E-2</v>
      </c>
      <c r="BX66" s="488"/>
    </row>
    <row r="67" spans="33:148" ht="13" x14ac:dyDescent="0.3">
      <c r="AG67" s="29">
        <f t="shared" si="81"/>
        <v>1.7999999999999995E-2</v>
      </c>
      <c r="AH67" s="18">
        <f t="shared" si="82"/>
        <v>38.508176697774751</v>
      </c>
      <c r="AU67" s="144"/>
      <c r="AV67" s="144"/>
      <c r="AX67" s="101" t="s">
        <v>275</v>
      </c>
      <c r="AY67">
        <v>1999</v>
      </c>
      <c r="AZ67" s="34">
        <v>2.2936022002005126E-2</v>
      </c>
      <c r="BO67" s="256" t="s">
        <v>27</v>
      </c>
      <c r="BP67" s="6">
        <f>BP66/15</f>
        <v>5.8779952473635724E-2</v>
      </c>
      <c r="BU67">
        <v>14</v>
      </c>
      <c r="BV67" s="371">
        <f t="shared" si="77"/>
        <v>26</v>
      </c>
      <c r="BW67" s="79">
        <f t="shared" si="78"/>
        <v>1.2247521120579287E-2</v>
      </c>
      <c r="BX67" s="488"/>
      <c r="CD67" s="32"/>
      <c r="CE67" s="32"/>
    </row>
    <row r="68" spans="33:148" ht="12.75" customHeight="1" x14ac:dyDescent="0.3">
      <c r="AG68" s="29">
        <f t="shared" si="81"/>
        <v>1.6999999999999994E-2</v>
      </c>
      <c r="AH68" s="18">
        <f t="shared" si="82"/>
        <v>40.773363562349736</v>
      </c>
      <c r="AV68" s="60"/>
      <c r="AW68" s="60"/>
      <c r="AX68" s="101" t="s">
        <v>273</v>
      </c>
      <c r="AY68">
        <v>2002</v>
      </c>
      <c r="AZ68" s="34">
        <v>2.2714285714285715E-2</v>
      </c>
      <c r="BO68" s="256"/>
      <c r="BU68">
        <v>15</v>
      </c>
      <c r="BV68" s="371">
        <f t="shared" si="77"/>
        <v>27</v>
      </c>
      <c r="BW68" s="79">
        <f t="shared" si="78"/>
        <v>1.1793909227224498E-2</v>
      </c>
      <c r="BX68" s="488"/>
      <c r="BY68"/>
      <c r="BZ68"/>
      <c r="CA68"/>
      <c r="CD68" s="32"/>
      <c r="CE68" s="32"/>
    </row>
    <row r="69" spans="33:148" ht="12.75" customHeight="1" x14ac:dyDescent="0.3">
      <c r="AG69" s="29">
        <f t="shared" si="81"/>
        <v>1.5999999999999993E-2</v>
      </c>
      <c r="AH69" s="18">
        <f t="shared" si="82"/>
        <v>43.321698784996599</v>
      </c>
      <c r="AU69" s="60"/>
      <c r="AV69" s="60"/>
      <c r="AW69" s="60"/>
      <c r="AX69" s="101" t="s">
        <v>263</v>
      </c>
      <c r="AY69">
        <v>1994</v>
      </c>
      <c r="AZ69" s="289">
        <v>2.1428571428571429E-2</v>
      </c>
      <c r="BA69" s="490" t="s">
        <v>280</v>
      </c>
      <c r="CD69" s="32"/>
      <c r="CE69" s="32"/>
    </row>
    <row r="70" spans="33:148" ht="12.75" customHeight="1" x14ac:dyDescent="0.3">
      <c r="AG70" s="29">
        <f t="shared" si="81"/>
        <v>1.4999999999999993E-2</v>
      </c>
      <c r="AH70" s="18">
        <f t="shared" si="82"/>
        <v>46.209812037329712</v>
      </c>
      <c r="AU70" s="60"/>
      <c r="AV70" s="60"/>
      <c r="AW70" s="60"/>
      <c r="AX70" s="101" t="s">
        <v>267</v>
      </c>
      <c r="AY70" s="20">
        <v>1997</v>
      </c>
      <c r="AZ70" s="290">
        <v>2.1428571428571429E-2</v>
      </c>
      <c r="BA70" s="490"/>
      <c r="BO70" s="49" t="s">
        <v>236</v>
      </c>
      <c r="BP70" s="49"/>
      <c r="BQ70" s="49"/>
      <c r="BR70" s="49"/>
      <c r="BS70" s="49"/>
      <c r="BT70" s="12"/>
      <c r="BU70" s="12"/>
      <c r="CD70" s="32"/>
      <c r="CE70" s="32"/>
    </row>
    <row r="71" spans="33:148" ht="12.75" customHeight="1" x14ac:dyDescent="0.3">
      <c r="AG71" s="29">
        <f t="shared" si="81"/>
        <v>1.3999999999999992E-2</v>
      </c>
      <c r="AH71" s="18">
        <f t="shared" si="82"/>
        <v>49.51051289713898</v>
      </c>
      <c r="AV71" s="159"/>
      <c r="AW71" s="159"/>
      <c r="AX71" s="256" t="s">
        <v>36</v>
      </c>
      <c r="AY71">
        <v>1999</v>
      </c>
      <c r="AZ71" s="291">
        <v>2.1000000000000001E-2</v>
      </c>
      <c r="BA71" s="490"/>
      <c r="BO71" s="65">
        <v>5.0000000000000001E-3</v>
      </c>
      <c r="BP71" t="s">
        <v>28</v>
      </c>
      <c r="BQ71" s="50">
        <f>1-BO71</f>
        <v>0.995</v>
      </c>
      <c r="BR71" t="s">
        <v>29</v>
      </c>
      <c r="BT71" t="s">
        <v>30</v>
      </c>
      <c r="CD71" s="32"/>
      <c r="CE71" s="32"/>
      <c r="ER71" s="18"/>
    </row>
    <row r="72" spans="33:148" ht="13" x14ac:dyDescent="0.3">
      <c r="AG72" s="29">
        <f t="shared" si="81"/>
        <v>1.2999999999999991E-2</v>
      </c>
      <c r="AH72" s="18">
        <f t="shared" si="82"/>
        <v>53.319013889226596</v>
      </c>
      <c r="AU72" s="159"/>
      <c r="AV72" s="159"/>
      <c r="AW72" s="159"/>
      <c r="AX72" s="101" t="s">
        <v>254</v>
      </c>
      <c r="AY72">
        <v>2007</v>
      </c>
      <c r="AZ72" s="289">
        <v>2.0714285714285713E-2</v>
      </c>
      <c r="BA72" s="490"/>
      <c r="BO72" s="12">
        <f>LN(BQ71)</f>
        <v>-5.0125418235442863E-3</v>
      </c>
      <c r="BP72" t="s">
        <v>31</v>
      </c>
      <c r="CD72" s="32"/>
      <c r="CE72" s="32"/>
    </row>
    <row r="73" spans="33:148" ht="13" x14ac:dyDescent="0.3">
      <c r="AG73" s="29">
        <f t="shared" si="81"/>
        <v>1.199999999999999E-2</v>
      </c>
      <c r="AH73" s="18">
        <f t="shared" si="82"/>
        <v>57.762265046662158</v>
      </c>
      <c r="AU73" s="159"/>
      <c r="AV73" s="159"/>
      <c r="AW73" s="159"/>
      <c r="AX73" s="101" t="s">
        <v>266</v>
      </c>
      <c r="AY73">
        <v>1996</v>
      </c>
      <c r="AZ73" s="289">
        <v>1.9857142857142858E-2</v>
      </c>
      <c r="BA73" s="490"/>
      <c r="BO73" s="51">
        <f>100*EXP(BO72*100)</f>
        <v>60.577043649072792</v>
      </c>
      <c r="BP73" s="52" t="s">
        <v>32</v>
      </c>
      <c r="BQ73" s="52"/>
      <c r="BR73" s="52"/>
      <c r="CA73"/>
      <c r="CB73"/>
      <c r="CC73"/>
      <c r="CD73"/>
      <c r="CE73"/>
      <c r="CF73"/>
    </row>
    <row r="74" spans="33:148" ht="12.75" customHeight="1" x14ac:dyDescent="0.3">
      <c r="AG74" s="29">
        <f t="shared" si="81"/>
        <v>1.0999999999999989E-2</v>
      </c>
      <c r="AH74" s="18">
        <f t="shared" si="82"/>
        <v>63.013380050904182</v>
      </c>
      <c r="AS74" s="22"/>
      <c r="AT74" s="22"/>
      <c r="AX74" s="101" t="s">
        <v>255</v>
      </c>
      <c r="AY74">
        <v>2007</v>
      </c>
      <c r="AZ74" s="289">
        <v>1.9571428571428573E-2</v>
      </c>
      <c r="BA74" s="490"/>
      <c r="BW74" s="491" t="s">
        <v>256</v>
      </c>
      <c r="BX74" s="491"/>
      <c r="BY74" s="491"/>
      <c r="BZ74" s="491"/>
      <c r="CA74" s="491"/>
      <c r="CB74" s="491"/>
      <c r="CC74"/>
      <c r="CD74"/>
      <c r="CE74"/>
      <c r="CF74"/>
    </row>
    <row r="75" spans="33:148" ht="13" x14ac:dyDescent="0.3">
      <c r="AG75" s="29">
        <f t="shared" si="81"/>
        <v>9.9999999999999881E-3</v>
      </c>
      <c r="AH75" s="18">
        <f t="shared" si="82"/>
        <v>69.314718055994618</v>
      </c>
      <c r="AX75" s="256" t="s">
        <v>279</v>
      </c>
      <c r="AY75">
        <v>2016</v>
      </c>
      <c r="AZ75" s="291">
        <v>1.9E-2</v>
      </c>
      <c r="BA75" s="490"/>
      <c r="BO75" s="49" t="s">
        <v>237</v>
      </c>
      <c r="BW75" s="491"/>
      <c r="BX75" s="491"/>
      <c r="BY75" s="491"/>
      <c r="BZ75" s="491"/>
      <c r="CA75" s="491"/>
      <c r="CB75" s="491"/>
    </row>
    <row r="76" spans="33:148" ht="13" x14ac:dyDescent="0.3">
      <c r="AG76" s="29">
        <f t="shared" si="81"/>
        <v>8.9999999999999872E-3</v>
      </c>
      <c r="AH76" s="18">
        <f t="shared" si="82"/>
        <v>77.016353395549586</v>
      </c>
      <c r="AX76" s="101" t="s">
        <v>264</v>
      </c>
      <c r="AY76">
        <v>1995</v>
      </c>
      <c r="AZ76" s="289">
        <v>1.8714285714285715E-2</v>
      </c>
      <c r="BA76" s="490"/>
      <c r="BO76" s="65">
        <v>0.01</v>
      </c>
      <c r="BP76" t="s">
        <v>28</v>
      </c>
      <c r="BQ76" s="50">
        <f>1-BO76</f>
        <v>0.99</v>
      </c>
      <c r="BR76" t="s">
        <v>29</v>
      </c>
      <c r="BW76" s="491"/>
      <c r="BX76" s="491"/>
      <c r="BY76" s="491"/>
      <c r="BZ76" s="491"/>
      <c r="CA76" s="491"/>
      <c r="CB76" s="491"/>
    </row>
    <row r="77" spans="33:148" ht="13" x14ac:dyDescent="0.3">
      <c r="AG77" s="29">
        <f t="shared" si="81"/>
        <v>7.9999999999999863E-3</v>
      </c>
      <c r="AH77" s="18">
        <f t="shared" si="82"/>
        <v>86.643397569993311</v>
      </c>
      <c r="AX77" s="101" t="s">
        <v>254</v>
      </c>
      <c r="AY77">
        <v>2007</v>
      </c>
      <c r="AZ77" s="289">
        <v>1.7428571428571429E-2</v>
      </c>
      <c r="BA77" s="490"/>
      <c r="BO77" s="12">
        <f>LN(BQ76)</f>
        <v>-1.0050335853501451E-2</v>
      </c>
      <c r="BP77" t="s">
        <v>31</v>
      </c>
      <c r="BW77" s="491"/>
      <c r="BX77" s="491"/>
      <c r="BY77" s="491"/>
      <c r="BZ77" s="491"/>
      <c r="CA77" s="491"/>
      <c r="CB77" s="491"/>
    </row>
    <row r="78" spans="33:148" ht="12.75" customHeight="1" x14ac:dyDescent="0.3">
      <c r="AG78" s="29">
        <f t="shared" si="81"/>
        <v>6.9999999999999863E-3</v>
      </c>
      <c r="AH78" s="18">
        <f t="shared" si="82"/>
        <v>99.021025794278088</v>
      </c>
      <c r="AX78" s="256" t="s">
        <v>131</v>
      </c>
      <c r="AY78">
        <v>2000</v>
      </c>
      <c r="AZ78" s="291">
        <v>1.7000000000000001E-2</v>
      </c>
      <c r="BA78" s="490"/>
      <c r="BO78" s="277">
        <v>3</v>
      </c>
      <c r="BP78" s="278">
        <v>19</v>
      </c>
      <c r="BQ78" t="s">
        <v>238</v>
      </c>
      <c r="BT78">
        <f>BO78*BP78</f>
        <v>57</v>
      </c>
      <c r="BU78" t="s">
        <v>239</v>
      </c>
      <c r="BW78" s="491"/>
      <c r="BX78" s="491"/>
      <c r="BY78" s="491"/>
      <c r="BZ78" s="491"/>
      <c r="CA78" s="491"/>
      <c r="CB78" s="491"/>
      <c r="CC78" s="33"/>
      <c r="CD78" s="33"/>
      <c r="CE78" s="33"/>
      <c r="CF78" s="33"/>
      <c r="CG78" s="33"/>
      <c r="CH78" s="33"/>
      <c r="CI78" s="33"/>
      <c r="CJ78" s="33"/>
      <c r="CK78" s="33"/>
      <c r="CL78" s="88"/>
    </row>
    <row r="79" spans="33:148" ht="13" x14ac:dyDescent="0.3">
      <c r="AG79" s="29">
        <f t="shared" si="81"/>
        <v>5.9999999999999862E-3</v>
      </c>
      <c r="AH79" s="18">
        <f t="shared" si="82"/>
        <v>115.52453009332447</v>
      </c>
      <c r="AX79" s="101" t="s">
        <v>274</v>
      </c>
      <c r="AY79">
        <v>2002</v>
      </c>
      <c r="AZ79" s="34">
        <v>1.3571428571428571E-2</v>
      </c>
      <c r="BO79" s="51">
        <f>100*EXP(BO77*BT78)</f>
        <v>56.390519045238761</v>
      </c>
      <c r="BP79" s="52" t="s">
        <v>240</v>
      </c>
      <c r="BQ79" s="52">
        <f>BT78</f>
        <v>57</v>
      </c>
      <c r="BR79" s="52" t="s">
        <v>241</v>
      </c>
      <c r="DO79" s="35"/>
      <c r="DP79" s="397"/>
      <c r="DQ79" s="35"/>
      <c r="DR79" s="34"/>
      <c r="DS79" s="34"/>
      <c r="DU79" s="36"/>
      <c r="DV79" s="34"/>
      <c r="EH79" s="21"/>
      <c r="EI79" s="18"/>
    </row>
    <row r="80" spans="33:148" s="20" customFormat="1" ht="12.75" customHeight="1" x14ac:dyDescent="0.3">
      <c r="AG80" s="29">
        <f t="shared" si="81"/>
        <v>4.9999999999999862E-3</v>
      </c>
      <c r="AH80" s="18">
        <f t="shared" si="82"/>
        <v>138.62943611198943</v>
      </c>
      <c r="AR80"/>
      <c r="AX80" s="101" t="s">
        <v>265</v>
      </c>
      <c r="AY80">
        <v>1995</v>
      </c>
      <c r="AZ80" s="34">
        <v>1.1428571428571429E-2</v>
      </c>
      <c r="BB80" s="303"/>
      <c r="BE80"/>
      <c r="BK80"/>
      <c r="BL80"/>
      <c r="BO80"/>
      <c r="BP80"/>
      <c r="BQ80"/>
      <c r="BR80"/>
      <c r="BS80"/>
      <c r="BW80" s="54" t="s">
        <v>242</v>
      </c>
      <c r="CD80" s="10"/>
      <c r="CE80" s="10"/>
      <c r="CF80" s="10"/>
      <c r="CM80"/>
      <c r="CN80"/>
      <c r="CO80"/>
      <c r="CP80"/>
      <c r="CQ80"/>
      <c r="CR80"/>
      <c r="CS80"/>
      <c r="CT80"/>
      <c r="CU80"/>
      <c r="CV80"/>
      <c r="CW80"/>
      <c r="CX80"/>
      <c r="CY80"/>
      <c r="CZ80"/>
      <c r="DA80"/>
      <c r="DB80"/>
      <c r="DC80"/>
      <c r="DD80"/>
      <c r="DE80"/>
      <c r="DF80"/>
      <c r="DG80"/>
      <c r="DH80"/>
      <c r="DI80"/>
      <c r="DJ80"/>
      <c r="DK80"/>
      <c r="DL80"/>
      <c r="DM80"/>
      <c r="DN80"/>
      <c r="DO80"/>
      <c r="DP80" s="395"/>
      <c r="DQ80"/>
      <c r="DR80"/>
      <c r="DS80"/>
      <c r="DT80"/>
      <c r="DU80" s="39"/>
      <c r="DW80"/>
      <c r="DX80"/>
      <c r="DY80"/>
      <c r="DZ80"/>
      <c r="EA80"/>
      <c r="EB80"/>
      <c r="EC80"/>
      <c r="ED80"/>
      <c r="EE80"/>
      <c r="EF80"/>
      <c r="EG80"/>
      <c r="EH80" s="40"/>
      <c r="EI80" s="38"/>
    </row>
    <row r="81" spans="33:139" ht="13" x14ac:dyDescent="0.3">
      <c r="AG81" s="29">
        <f t="shared" si="81"/>
        <v>3.9999999999999862E-3</v>
      </c>
      <c r="AH81" s="18">
        <f t="shared" si="82"/>
        <v>173.28679513998691</v>
      </c>
      <c r="AX81" s="101" t="s">
        <v>276</v>
      </c>
      <c r="AY81">
        <v>1999</v>
      </c>
      <c r="AZ81" s="34">
        <v>1.035681555964402E-2</v>
      </c>
      <c r="BW81" s="379" t="s">
        <v>243</v>
      </c>
      <c r="CG81"/>
      <c r="DO81"/>
      <c r="DP81" s="395"/>
      <c r="DQ81"/>
      <c r="EH81" s="41"/>
      <c r="EI81" s="18"/>
    </row>
    <row r="82" spans="33:139" ht="12.75" customHeight="1" x14ac:dyDescent="0.3">
      <c r="AG82" s="29">
        <f t="shared" si="81"/>
        <v>2.9999999999999862E-3</v>
      </c>
      <c r="AH82" s="18">
        <f t="shared" si="82"/>
        <v>231.04906018664948</v>
      </c>
      <c r="AX82" s="256" t="s">
        <v>260</v>
      </c>
      <c r="AY82">
        <v>2000</v>
      </c>
      <c r="AZ82" s="34">
        <v>0.01</v>
      </c>
      <c r="BQ82" s="18"/>
      <c r="CG82"/>
      <c r="DO82"/>
      <c r="DP82" s="395"/>
      <c r="DQ82"/>
    </row>
    <row r="83" spans="33:139" ht="13" x14ac:dyDescent="0.3">
      <c r="AG83" s="29">
        <f t="shared" si="81"/>
        <v>1.9999999999999862E-3</v>
      </c>
      <c r="AH83" s="18">
        <f t="shared" si="82"/>
        <v>346.57359027997506</v>
      </c>
      <c r="AX83" s="101" t="s">
        <v>255</v>
      </c>
      <c r="AY83">
        <v>2007</v>
      </c>
      <c r="AZ83" s="34">
        <v>8.7142857142857143E-3</v>
      </c>
      <c r="BG83" s="6"/>
      <c r="CD83" s="43"/>
      <c r="CE83" s="43"/>
      <c r="CF83" s="371"/>
      <c r="CG83" s="371"/>
      <c r="DO83"/>
      <c r="DP83" s="395"/>
      <c r="DQ83"/>
      <c r="EH83" s="21"/>
      <c r="EI83" s="18"/>
    </row>
    <row r="84" spans="33:139" ht="13" x14ac:dyDescent="0.3">
      <c r="AX84" s="101" t="s">
        <v>272</v>
      </c>
      <c r="AY84">
        <v>2001</v>
      </c>
      <c r="AZ84" s="34">
        <v>6.7142857142857143E-3</v>
      </c>
      <c r="BR84" s="21"/>
      <c r="BS84" s="21"/>
      <c r="CG84"/>
      <c r="DO84"/>
      <c r="DP84" s="395"/>
      <c r="DQ84"/>
      <c r="EH84" s="21"/>
      <c r="EI84" s="18"/>
    </row>
    <row r="85" spans="33:139" ht="13" x14ac:dyDescent="0.3">
      <c r="AX85" s="101" t="s">
        <v>268</v>
      </c>
      <c r="AY85">
        <v>1999</v>
      </c>
      <c r="AZ85" s="34">
        <v>4.7142857142857143E-3</v>
      </c>
      <c r="CD85" s="371"/>
      <c r="CE85" s="371"/>
      <c r="CF85" s="371"/>
      <c r="CG85" s="371"/>
      <c r="DO85"/>
      <c r="DP85" s="395"/>
      <c r="DQ85"/>
      <c r="EH85" s="21"/>
      <c r="EI85" s="18"/>
    </row>
    <row r="86" spans="33:139" ht="50" x14ac:dyDescent="0.3">
      <c r="AX86" s="101" t="s">
        <v>278</v>
      </c>
      <c r="AY86">
        <v>1999</v>
      </c>
      <c r="AZ86" s="289">
        <v>3.9670639760890931E-3</v>
      </c>
      <c r="BA86" s="492" t="s">
        <v>281</v>
      </c>
      <c r="BZ86" s="369"/>
      <c r="CA86" s="373" t="s">
        <v>249</v>
      </c>
      <c r="CB86" s="258" t="s">
        <v>247</v>
      </c>
      <c r="CC86" s="365" t="s">
        <v>248</v>
      </c>
      <c r="CD86" s="373" t="s">
        <v>317</v>
      </c>
      <c r="CE86" s="373"/>
      <c r="CG86" s="371"/>
      <c r="DU86" s="44"/>
      <c r="DV86" s="44"/>
    </row>
    <row r="87" spans="33:139" ht="37.5" x14ac:dyDescent="0.3">
      <c r="AX87" s="101" t="s">
        <v>271</v>
      </c>
      <c r="AY87">
        <v>2000</v>
      </c>
      <c r="AZ87" s="289">
        <v>3.4285714285714288E-3</v>
      </c>
      <c r="BA87" s="492"/>
      <c r="BZ87" s="373" t="s">
        <v>245</v>
      </c>
      <c r="CA87" s="373" t="s">
        <v>244</v>
      </c>
      <c r="CB87" s="373">
        <f>BV127</f>
        <v>0</v>
      </c>
      <c r="CC87" s="373" t="s">
        <v>246</v>
      </c>
      <c r="CD87" s="369"/>
      <c r="CE87" s="369"/>
      <c r="CF87" s="256" t="s">
        <v>250</v>
      </c>
      <c r="CG87" s="371"/>
    </row>
    <row r="88" spans="33:139" ht="13" x14ac:dyDescent="0.3">
      <c r="AX88" s="101" t="s">
        <v>269</v>
      </c>
      <c r="AY88">
        <v>1999</v>
      </c>
      <c r="AZ88" s="289">
        <v>3.2857142857142855E-3</v>
      </c>
      <c r="BA88" s="492"/>
      <c r="BY88" s="256">
        <v>40</v>
      </c>
      <c r="BZ88" s="52">
        <v>0</v>
      </c>
      <c r="CA88" s="284">
        <v>1E-3</v>
      </c>
      <c r="CB88" s="52">
        <v>40</v>
      </c>
      <c r="CC88" s="74">
        <f t="shared" ref="CC88:CC106" si="83">12+CB88</f>
        <v>52</v>
      </c>
      <c r="CD88" s="27">
        <f t="shared" ref="CD88:CD106" si="84">-$CF$91*LN(CA88)+$CF$88</f>
        <v>39.538776394910684</v>
      </c>
      <c r="CE88" s="27"/>
      <c r="CF88" s="283">
        <v>5</v>
      </c>
      <c r="CG88" s="371"/>
    </row>
    <row r="89" spans="33:139" ht="13" x14ac:dyDescent="0.3">
      <c r="AX89" s="101" t="s">
        <v>255</v>
      </c>
      <c r="AY89">
        <v>2007</v>
      </c>
      <c r="AZ89" s="289">
        <v>3.0000000000000001E-3</v>
      </c>
      <c r="BA89" s="492"/>
      <c r="BY89" s="256">
        <v>30</v>
      </c>
      <c r="BZ89" s="52">
        <v>10</v>
      </c>
      <c r="CA89" s="282">
        <f t="shared" ref="CA89:CA106" si="85">BZ89*20/8000</f>
        <v>2.5000000000000001E-2</v>
      </c>
      <c r="CB89" s="52">
        <v>30</v>
      </c>
      <c r="CC89" s="74">
        <f t="shared" si="83"/>
        <v>42</v>
      </c>
      <c r="CD89" s="27">
        <f t="shared" si="84"/>
        <v>23.444397270569681</v>
      </c>
      <c r="CE89" s="27"/>
      <c r="CG89" s="371"/>
    </row>
    <row r="90" spans="33:139" ht="13" x14ac:dyDescent="0.3">
      <c r="AX90" s="101" t="s">
        <v>270</v>
      </c>
      <c r="AY90">
        <v>2000</v>
      </c>
      <c r="AZ90" s="289">
        <v>2.142857142857143E-3</v>
      </c>
      <c r="BA90" s="492"/>
      <c r="BY90" s="256">
        <v>20</v>
      </c>
      <c r="BZ90" s="52">
        <v>25</v>
      </c>
      <c r="CA90" s="282">
        <f t="shared" si="85"/>
        <v>6.25E-2</v>
      </c>
      <c r="CB90" s="52">
        <v>20</v>
      </c>
      <c r="CC90" s="74">
        <f t="shared" si="83"/>
        <v>32</v>
      </c>
      <c r="CD90" s="27">
        <f t="shared" si="84"/>
        <v>18.862943611198908</v>
      </c>
      <c r="CE90" s="27"/>
      <c r="CF90" s="256" t="s">
        <v>251</v>
      </c>
      <c r="CG90" s="371"/>
    </row>
    <row r="91" spans="33:139" ht="13" x14ac:dyDescent="0.3">
      <c r="AX91" s="101" t="s">
        <v>277</v>
      </c>
      <c r="AY91">
        <v>1999</v>
      </c>
      <c r="AZ91" s="289">
        <v>-8.0662155061252579E-3</v>
      </c>
      <c r="BA91" s="492"/>
      <c r="BT91">
        <v>1.45</v>
      </c>
      <c r="BU91">
        <v>16.2</v>
      </c>
      <c r="BV91" s="285">
        <f>LN(BT91)/BU91</f>
        <v>2.2936022002005126E-2</v>
      </c>
      <c r="BY91" s="256">
        <v>17</v>
      </c>
      <c r="BZ91" s="52">
        <v>40</v>
      </c>
      <c r="CA91" s="282">
        <f t="shared" si="85"/>
        <v>0.1</v>
      </c>
      <c r="CB91" s="52">
        <v>17</v>
      </c>
      <c r="CC91" s="74">
        <f t="shared" si="83"/>
        <v>29</v>
      </c>
      <c r="CD91" s="27">
        <f t="shared" si="84"/>
        <v>16.512925464970227</v>
      </c>
      <c r="CE91" s="27"/>
      <c r="CF91" s="283">
        <v>5</v>
      </c>
      <c r="CO91" s="380"/>
      <c r="CP91" s="380"/>
      <c r="CQ91" s="380"/>
      <c r="CR91" s="380"/>
    </row>
    <row r="92" spans="33:139" ht="13" x14ac:dyDescent="0.3">
      <c r="BT92">
        <v>1.22</v>
      </c>
      <c r="BU92">
        <v>19.2</v>
      </c>
      <c r="BV92" s="285">
        <f>LN(BT92)/BU92</f>
        <v>1.035681555964402E-2</v>
      </c>
      <c r="BZ92" s="279">
        <v>50</v>
      </c>
      <c r="CA92" s="281">
        <f t="shared" si="85"/>
        <v>0.125</v>
      </c>
      <c r="CB92" s="280">
        <v>14.285714285714285</v>
      </c>
      <c r="CC92" s="280">
        <f t="shared" si="83"/>
        <v>26.285714285714285</v>
      </c>
      <c r="CD92" s="27">
        <f t="shared" si="84"/>
        <v>15.397207708399179</v>
      </c>
      <c r="CE92" s="27"/>
      <c r="CO92" s="380"/>
      <c r="CP92" s="380"/>
      <c r="CQ92" s="380"/>
      <c r="CR92" s="380"/>
    </row>
    <row r="93" spans="33:139" x14ac:dyDescent="0.25">
      <c r="BT93">
        <v>1.08</v>
      </c>
      <c r="BU93">
        <v>19.399999999999999</v>
      </c>
      <c r="BV93" s="285">
        <f>LN(BT93)/BU93</f>
        <v>3.9670639760890931E-3</v>
      </c>
      <c r="BZ93" s="279">
        <v>100</v>
      </c>
      <c r="CA93" s="281">
        <f t="shared" si="85"/>
        <v>0.25</v>
      </c>
      <c r="CB93" s="280">
        <v>12.5</v>
      </c>
      <c r="CC93" s="280">
        <f t="shared" si="83"/>
        <v>24.5</v>
      </c>
      <c r="CD93" s="27">
        <f t="shared" si="84"/>
        <v>11.931471805599454</v>
      </c>
      <c r="CE93" s="27"/>
    </row>
    <row r="94" spans="33:139" x14ac:dyDescent="0.25">
      <c r="BT94">
        <v>0.83</v>
      </c>
      <c r="BU94">
        <v>23.1</v>
      </c>
      <c r="BV94" s="285">
        <f>LN(BT94)/BU94</f>
        <v>-8.0662155061252579E-3</v>
      </c>
      <c r="BY94" s="58"/>
      <c r="BZ94" s="279">
        <v>150</v>
      </c>
      <c r="CA94" s="281">
        <f t="shared" si="85"/>
        <v>0.375</v>
      </c>
      <c r="CB94" s="280">
        <v>10.526315789473685</v>
      </c>
      <c r="CC94" s="280">
        <f t="shared" si="83"/>
        <v>22.526315789473685</v>
      </c>
      <c r="CD94" s="27">
        <f t="shared" si="84"/>
        <v>9.9041462650586318</v>
      </c>
      <c r="CE94" s="27"/>
    </row>
    <row r="95" spans="33:139" ht="12.75" customHeight="1" x14ac:dyDescent="0.3">
      <c r="BW95" s="47"/>
      <c r="BY95" s="58"/>
      <c r="BZ95" s="279">
        <v>200</v>
      </c>
      <c r="CA95" s="281">
        <f t="shared" si="85"/>
        <v>0.5</v>
      </c>
      <c r="CB95" s="280">
        <v>9.0909090909090917</v>
      </c>
      <c r="CC95" s="280">
        <f t="shared" si="83"/>
        <v>21.090909090909093</v>
      </c>
      <c r="CD95" s="27">
        <f t="shared" si="84"/>
        <v>8.465735902799727</v>
      </c>
      <c r="CE95" s="27"/>
    </row>
    <row r="96" spans="33:139" x14ac:dyDescent="0.25">
      <c r="BY96" s="58"/>
      <c r="BZ96" s="279">
        <v>250</v>
      </c>
      <c r="CA96" s="281">
        <f t="shared" si="85"/>
        <v>0.625</v>
      </c>
      <c r="CB96" s="280">
        <v>7.6923076923076916</v>
      </c>
      <c r="CC96" s="280">
        <f t="shared" si="83"/>
        <v>19.692307692307693</v>
      </c>
      <c r="CD96" s="27">
        <f t="shared" si="84"/>
        <v>7.3500181462286776</v>
      </c>
      <c r="CE96" s="27"/>
    </row>
    <row r="97" spans="39:132" x14ac:dyDescent="0.25">
      <c r="BY97" s="58"/>
      <c r="BZ97" s="279">
        <v>300</v>
      </c>
      <c r="CA97" s="281">
        <f t="shared" si="85"/>
        <v>0.75</v>
      </c>
      <c r="CB97" s="280">
        <v>6.666666666666667</v>
      </c>
      <c r="CC97" s="280">
        <f t="shared" si="83"/>
        <v>18.666666666666668</v>
      </c>
      <c r="CD97" s="27">
        <f t="shared" si="84"/>
        <v>6.4384103622589048</v>
      </c>
      <c r="CE97" s="27"/>
    </row>
    <row r="98" spans="39:132" x14ac:dyDescent="0.25">
      <c r="BY98" s="21"/>
      <c r="BZ98" s="279">
        <v>350</v>
      </c>
      <c r="CA98" s="281">
        <f t="shared" si="85"/>
        <v>0.875</v>
      </c>
      <c r="CB98" s="280">
        <v>4.2105263157894735</v>
      </c>
      <c r="CC98" s="280">
        <f t="shared" si="83"/>
        <v>16.210526315789473</v>
      </c>
      <c r="CD98" s="27">
        <f t="shared" si="84"/>
        <v>5.6676569631226128</v>
      </c>
      <c r="CE98" s="27"/>
      <c r="CG98" s="371"/>
      <c r="CH98" s="371"/>
      <c r="CI98" s="371"/>
      <c r="CJ98" s="371"/>
      <c r="CK98" s="371"/>
    </row>
    <row r="99" spans="39:132" ht="12.75" customHeight="1" x14ac:dyDescent="0.25">
      <c r="BX99" s="15"/>
      <c r="BY99" s="21"/>
      <c r="BZ99" s="279">
        <v>400</v>
      </c>
      <c r="CA99" s="281">
        <f t="shared" si="85"/>
        <v>1</v>
      </c>
      <c r="CB99" s="280">
        <v>3.6363636363636367</v>
      </c>
      <c r="CC99" s="280">
        <f t="shared" si="83"/>
        <v>15.636363636363637</v>
      </c>
      <c r="CD99" s="27">
        <f t="shared" si="84"/>
        <v>5</v>
      </c>
      <c r="CE99" s="27"/>
      <c r="CG99" s="371"/>
      <c r="CH99" s="371"/>
      <c r="CI99" s="371"/>
      <c r="CJ99" s="371"/>
      <c r="CK99" s="371"/>
    </row>
    <row r="100" spans="39:132" s="54" customFormat="1" ht="12.75" customHeight="1" x14ac:dyDescent="0.25">
      <c r="AM100"/>
      <c r="AN100"/>
      <c r="AO100"/>
      <c r="AP100"/>
      <c r="AQ100"/>
      <c r="AR100"/>
      <c r="AS100"/>
      <c r="AT100"/>
      <c r="AU100"/>
      <c r="AV100"/>
      <c r="AW100"/>
      <c r="AX100"/>
      <c r="AY100"/>
      <c r="BB100" s="382"/>
      <c r="BK100"/>
      <c r="BL100"/>
      <c r="BW100" s="256"/>
      <c r="BX100" s="256"/>
      <c r="BY100" s="107"/>
      <c r="BZ100" s="279">
        <v>450</v>
      </c>
      <c r="CA100" s="281">
        <f t="shared" si="85"/>
        <v>1.125</v>
      </c>
      <c r="CB100" s="280">
        <v>3.0769230769230771</v>
      </c>
      <c r="CC100" s="280">
        <f t="shared" si="83"/>
        <v>15.076923076923077</v>
      </c>
      <c r="CD100" s="27">
        <f t="shared" si="84"/>
        <v>4.4110848217180827</v>
      </c>
      <c r="CE100" s="27"/>
      <c r="CF100" s="256"/>
      <c r="CG100" s="371"/>
      <c r="CH100" s="371"/>
      <c r="CI100" s="371"/>
      <c r="CJ100" s="371"/>
      <c r="CK100" s="371"/>
      <c r="DA100"/>
      <c r="DB100"/>
      <c r="DC100"/>
      <c r="DD100"/>
      <c r="DE100"/>
      <c r="DF100"/>
      <c r="DG100"/>
      <c r="DH100"/>
      <c r="DI100"/>
      <c r="DJ100"/>
      <c r="DK100"/>
      <c r="DO100" s="100"/>
      <c r="DP100" s="57"/>
      <c r="DQ100" s="100"/>
    </row>
    <row r="101" spans="39:132" x14ac:dyDescent="0.25">
      <c r="BL101" s="29"/>
      <c r="BY101" s="21"/>
      <c r="BZ101" s="279">
        <v>500</v>
      </c>
      <c r="CA101" s="281">
        <f t="shared" si="85"/>
        <v>1.25</v>
      </c>
      <c r="CB101" s="280">
        <v>2.8571428571428572</v>
      </c>
      <c r="CC101" s="280">
        <f t="shared" si="83"/>
        <v>14.857142857142858</v>
      </c>
      <c r="CD101" s="27">
        <f t="shared" si="84"/>
        <v>3.8842822434289515</v>
      </c>
      <c r="CE101" s="27"/>
      <c r="CG101" s="371"/>
      <c r="CH101" s="371"/>
      <c r="CI101" s="371"/>
      <c r="CJ101" s="371"/>
      <c r="CK101" s="371"/>
    </row>
    <row r="102" spans="39:132" x14ac:dyDescent="0.25">
      <c r="BL102" s="29"/>
      <c r="BY102" s="21"/>
      <c r="BZ102" s="279">
        <v>550</v>
      </c>
      <c r="CA102" s="281">
        <f t="shared" si="85"/>
        <v>1.375</v>
      </c>
      <c r="CB102" s="280">
        <v>1.8181818181818181</v>
      </c>
      <c r="CC102" s="280">
        <f t="shared" si="83"/>
        <v>13.818181818181818</v>
      </c>
      <c r="CD102" s="27">
        <f t="shared" si="84"/>
        <v>3.4077313444073272</v>
      </c>
      <c r="CE102" s="27"/>
      <c r="CG102" s="371"/>
      <c r="CH102" s="371"/>
      <c r="CI102" s="371"/>
      <c r="CJ102" s="371"/>
      <c r="CK102" s="371"/>
      <c r="DU102" s="21"/>
      <c r="DV102" s="21"/>
    </row>
    <row r="103" spans="39:132" ht="12.75" customHeight="1" x14ac:dyDescent="0.25">
      <c r="BL103" s="29"/>
      <c r="BY103" s="21"/>
      <c r="BZ103" s="279">
        <v>600</v>
      </c>
      <c r="CA103" s="281">
        <f t="shared" si="85"/>
        <v>1.5</v>
      </c>
      <c r="CB103" s="280">
        <v>1.6216216216216215</v>
      </c>
      <c r="CC103" s="280">
        <f t="shared" si="83"/>
        <v>13.621621621621621</v>
      </c>
      <c r="CD103" s="27">
        <f t="shared" si="84"/>
        <v>2.9726744594591779</v>
      </c>
      <c r="CE103" s="27"/>
      <c r="CG103" s="60"/>
      <c r="CH103" s="60"/>
      <c r="CI103" s="60"/>
      <c r="CJ103" s="60"/>
      <c r="CK103" s="60"/>
      <c r="CL103" s="60"/>
      <c r="CM103" s="60"/>
      <c r="CN103" s="60"/>
      <c r="CO103" s="60"/>
      <c r="CP103" s="60"/>
      <c r="CQ103" s="60"/>
      <c r="CR103" s="60"/>
      <c r="CS103" s="60"/>
      <c r="CT103" s="60"/>
      <c r="CU103" s="60"/>
      <c r="CV103" s="60"/>
    </row>
    <row r="104" spans="39:132" x14ac:dyDescent="0.25">
      <c r="BL104" s="29"/>
      <c r="BY104" s="21">
        <v>1.4</v>
      </c>
      <c r="BZ104" s="52">
        <v>800</v>
      </c>
      <c r="CA104" s="282">
        <f t="shared" si="85"/>
        <v>2</v>
      </c>
      <c r="CB104" s="52">
        <v>1.4</v>
      </c>
      <c r="CC104" s="74">
        <f t="shared" si="83"/>
        <v>13.4</v>
      </c>
      <c r="CD104" s="27">
        <f t="shared" si="84"/>
        <v>1.5342640972002735</v>
      </c>
      <c r="CE104" s="27"/>
      <c r="CG104" s="60"/>
      <c r="CH104" s="60"/>
      <c r="CI104" s="60"/>
      <c r="CJ104" s="60"/>
      <c r="CK104" s="60"/>
      <c r="CL104" s="60"/>
      <c r="CM104" s="60"/>
      <c r="CN104" s="60"/>
      <c r="CO104" s="60"/>
      <c r="CP104" s="60"/>
      <c r="CQ104" s="60"/>
      <c r="CR104" s="60"/>
      <c r="CS104" s="60"/>
      <c r="CT104" s="60"/>
      <c r="CU104" s="60"/>
      <c r="CV104" s="60"/>
      <c r="DU104" s="12"/>
      <c r="DV104" s="12"/>
      <c r="DW104" s="12"/>
      <c r="DX104" s="12"/>
      <c r="DY104" s="12"/>
      <c r="DZ104" s="12"/>
      <c r="EA104" s="12"/>
    </row>
    <row r="105" spans="39:132" x14ac:dyDescent="0.25">
      <c r="BL105" s="29"/>
      <c r="BY105" s="21">
        <v>1</v>
      </c>
      <c r="BZ105" s="52">
        <v>1000</v>
      </c>
      <c r="CA105" s="282">
        <f t="shared" si="85"/>
        <v>2.5</v>
      </c>
      <c r="CB105" s="52">
        <v>1</v>
      </c>
      <c r="CC105" s="74">
        <f t="shared" si="83"/>
        <v>13</v>
      </c>
      <c r="CD105" s="27">
        <f t="shared" si="84"/>
        <v>0.41854634062922447</v>
      </c>
      <c r="CE105" s="27"/>
      <c r="CG105" s="60"/>
      <c r="CH105" s="60"/>
      <c r="CI105" s="60"/>
      <c r="CJ105" s="60"/>
      <c r="CK105" s="60"/>
      <c r="CL105" s="60"/>
      <c r="CM105" s="60"/>
      <c r="CN105" s="60"/>
      <c r="CO105" s="60"/>
      <c r="CP105" s="60"/>
      <c r="CQ105" s="60"/>
      <c r="CR105" s="60"/>
      <c r="CS105" s="60"/>
      <c r="CT105" s="60"/>
      <c r="CU105" s="60"/>
      <c r="CV105" s="60"/>
      <c r="DW105" s="256"/>
      <c r="DX105" s="256"/>
      <c r="DY105" s="256"/>
      <c r="DZ105" s="256"/>
      <c r="EA105" s="256"/>
    </row>
    <row r="106" spans="39:132" x14ac:dyDescent="0.25">
      <c r="BL106" s="29"/>
      <c r="BY106" s="21">
        <v>0.5</v>
      </c>
      <c r="BZ106" s="52">
        <v>1200</v>
      </c>
      <c r="CA106" s="282">
        <f t="shared" si="85"/>
        <v>3</v>
      </c>
      <c r="CB106" s="52">
        <v>0.5</v>
      </c>
      <c r="CC106" s="74">
        <f t="shared" si="83"/>
        <v>12.5</v>
      </c>
      <c r="CD106" s="27">
        <f t="shared" si="84"/>
        <v>-0.49306144334054913</v>
      </c>
      <c r="CE106" s="27"/>
      <c r="EB106" s="29"/>
    </row>
    <row r="107" spans="39:132" x14ac:dyDescent="0.25">
      <c r="BL107" s="29"/>
      <c r="BY107" s="21"/>
      <c r="CB107" s="101"/>
      <c r="CC107" s="27"/>
      <c r="CD107" s="108"/>
      <c r="CE107" s="108"/>
      <c r="CF107" s="109"/>
      <c r="EB107" s="29"/>
    </row>
    <row r="108" spans="39:132" x14ac:dyDescent="0.25">
      <c r="BL108" s="29"/>
      <c r="BY108" s="58"/>
      <c r="CB108" s="101"/>
      <c r="CC108" s="27"/>
      <c r="CD108" s="108"/>
      <c r="CE108" s="108"/>
      <c r="CF108" s="109"/>
      <c r="EB108" s="29"/>
    </row>
    <row r="109" spans="39:132" x14ac:dyDescent="0.25">
      <c r="BL109" s="29"/>
      <c r="BY109" s="58"/>
      <c r="CB109" s="101"/>
      <c r="CC109" s="27"/>
      <c r="CD109" s="108"/>
      <c r="CE109" s="108"/>
      <c r="CF109" s="109"/>
      <c r="EB109" s="29"/>
    </row>
    <row r="110" spans="39:132" x14ac:dyDescent="0.25">
      <c r="BL110" s="29"/>
      <c r="BY110" s="58"/>
      <c r="CB110" s="101"/>
      <c r="CC110" s="27"/>
      <c r="CD110" s="108"/>
      <c r="CE110" s="108"/>
      <c r="CF110" s="109"/>
    </row>
    <row r="111" spans="39:132" x14ac:dyDescent="0.25">
      <c r="BL111" s="29"/>
      <c r="BY111" s="58"/>
      <c r="CB111" s="101"/>
      <c r="CC111" s="27"/>
      <c r="CD111" s="108"/>
      <c r="CE111" s="108"/>
      <c r="CF111" s="109"/>
    </row>
    <row r="112" spans="39:132" x14ac:dyDescent="0.25">
      <c r="BL112" s="29"/>
      <c r="BY112" s="58"/>
      <c r="CB112" s="101"/>
      <c r="CC112" s="27"/>
      <c r="CD112" s="108"/>
      <c r="CE112" s="108"/>
      <c r="CF112" s="109"/>
    </row>
    <row r="113" spans="64:121" x14ac:dyDescent="0.25">
      <c r="BL113" s="29"/>
      <c r="BY113" s="58"/>
      <c r="CB113" s="101"/>
      <c r="CC113" s="27"/>
      <c r="CD113" s="108"/>
      <c r="CE113" s="108"/>
      <c r="CF113" s="109"/>
    </row>
    <row r="114" spans="64:121" x14ac:dyDescent="0.25">
      <c r="BY114" s="58"/>
      <c r="CB114" s="101"/>
      <c r="CC114" s="27"/>
      <c r="CD114" s="108"/>
      <c r="CE114" s="108"/>
      <c r="CF114" s="109"/>
      <c r="DO114" s="17"/>
      <c r="DP114" s="398"/>
      <c r="DQ114" s="17"/>
    </row>
    <row r="115" spans="64:121" x14ac:dyDescent="0.25">
      <c r="BY115" s="58"/>
      <c r="CB115" s="101"/>
      <c r="CC115" s="27"/>
      <c r="CD115" s="108"/>
      <c r="CE115" s="108"/>
      <c r="CF115" s="109"/>
      <c r="DO115" s="17"/>
      <c r="DP115" s="398"/>
      <c r="DQ115" s="17"/>
    </row>
    <row r="116" spans="64:121" x14ac:dyDescent="0.25">
      <c r="BL116" s="29"/>
      <c r="BY116" s="58"/>
      <c r="CB116" s="101"/>
      <c r="CC116" s="27"/>
      <c r="CD116" s="108"/>
      <c r="CE116" s="108"/>
      <c r="CF116" s="109"/>
      <c r="DO116" s="17"/>
      <c r="DP116" s="398"/>
      <c r="DQ116" s="17"/>
    </row>
    <row r="117" spans="64:121" x14ac:dyDescent="0.25">
      <c r="BL117" s="29"/>
      <c r="BY117" s="58"/>
      <c r="DO117" s="17"/>
      <c r="DP117" s="398"/>
      <c r="DQ117" s="17"/>
    </row>
    <row r="118" spans="64:121" x14ac:dyDescent="0.25">
      <c r="BL118" s="29"/>
      <c r="BY118" s="58"/>
      <c r="DO118" s="17"/>
      <c r="DP118" s="398"/>
      <c r="DQ118" s="17"/>
    </row>
    <row r="119" spans="64:121" x14ac:dyDescent="0.25">
      <c r="DO119" s="17"/>
      <c r="DP119" s="398"/>
      <c r="DQ119" s="17"/>
    </row>
    <row r="120" spans="64:121" x14ac:dyDescent="0.25">
      <c r="DO120" s="17"/>
      <c r="DP120" s="398"/>
      <c r="DQ120" s="17"/>
    </row>
    <row r="121" spans="64:121" x14ac:dyDescent="0.25">
      <c r="DA121" s="256"/>
      <c r="DO121" s="17"/>
      <c r="DP121" s="398"/>
      <c r="DQ121" s="17"/>
    </row>
    <row r="122" spans="64:121" x14ac:dyDescent="0.25">
      <c r="DA122" s="256"/>
      <c r="DO122" s="17"/>
      <c r="DP122" s="398"/>
      <c r="DQ122" s="17"/>
    </row>
    <row r="123" spans="64:121" x14ac:dyDescent="0.25">
      <c r="DA123" s="256"/>
      <c r="DO123" s="17"/>
      <c r="DP123" s="398"/>
      <c r="DQ123" s="17"/>
    </row>
    <row r="124" spans="64:121" x14ac:dyDescent="0.25">
      <c r="DA124" s="256"/>
      <c r="DO124" s="17"/>
      <c r="DP124" s="398"/>
      <c r="DQ124" s="17"/>
    </row>
    <row r="125" spans="64:121" x14ac:dyDescent="0.25">
      <c r="DA125" s="256"/>
      <c r="DO125" s="17"/>
      <c r="DP125" s="398"/>
      <c r="DQ125" s="17"/>
    </row>
    <row r="126" spans="64:121" x14ac:dyDescent="0.25">
      <c r="BV126" s="54"/>
      <c r="BY126"/>
      <c r="DA126" s="256"/>
      <c r="DO126" s="17"/>
      <c r="DP126" s="398"/>
      <c r="DQ126" s="17"/>
    </row>
    <row r="127" spans="64:121" x14ac:dyDescent="0.25">
      <c r="BS127" s="20"/>
      <c r="BT127" s="20"/>
      <c r="BU127" s="20"/>
      <c r="BV127" s="20"/>
      <c r="BY127"/>
      <c r="DA127" s="256"/>
      <c r="DO127" s="17"/>
      <c r="DP127" s="398"/>
      <c r="DQ127" s="17"/>
    </row>
    <row r="128" spans="64:121" x14ac:dyDescent="0.25">
      <c r="BV128" s="30"/>
      <c r="BY128"/>
      <c r="DA128" s="256"/>
      <c r="DO128" s="17"/>
      <c r="DP128" s="398"/>
      <c r="DQ128" s="17"/>
    </row>
    <row r="129" spans="74:121" x14ac:dyDescent="0.25">
      <c r="BV129" s="30"/>
      <c r="BY129"/>
      <c r="DA129" s="256"/>
      <c r="DO129" s="17"/>
      <c r="DP129" s="398"/>
      <c r="DQ129" s="17"/>
    </row>
    <row r="130" spans="74:121" x14ac:dyDescent="0.25">
      <c r="BV130" s="30"/>
      <c r="BY130"/>
      <c r="DA130" s="256"/>
      <c r="DO130" s="17"/>
      <c r="DP130" s="398"/>
      <c r="DQ130" s="17"/>
    </row>
    <row r="131" spans="74:121" x14ac:dyDescent="0.25">
      <c r="BV131" s="30"/>
      <c r="BY131"/>
      <c r="DA131" s="256"/>
      <c r="DO131" s="17"/>
      <c r="DP131" s="398"/>
      <c r="DQ131" s="17"/>
    </row>
    <row r="132" spans="74:121" x14ac:dyDescent="0.25">
      <c r="BV132" s="30"/>
      <c r="BY132"/>
      <c r="DA132" s="256"/>
      <c r="DO132" s="17"/>
      <c r="DP132" s="398"/>
      <c r="DQ132" s="17"/>
    </row>
    <row r="133" spans="74:121" x14ac:dyDescent="0.25">
      <c r="BV133" s="30"/>
      <c r="BY133"/>
      <c r="DA133" s="256"/>
      <c r="DO133" s="17"/>
      <c r="DP133" s="398"/>
      <c r="DQ133" s="17"/>
    </row>
    <row r="134" spans="74:121" x14ac:dyDescent="0.25">
      <c r="BV134" s="30"/>
      <c r="BY134"/>
      <c r="DA134" s="256"/>
      <c r="DO134" s="17"/>
      <c r="DP134" s="398"/>
      <c r="DQ134" s="17"/>
    </row>
    <row r="135" spans="74:121" x14ac:dyDescent="0.25">
      <c r="BV135" s="30"/>
      <c r="BY135"/>
      <c r="DA135" s="256"/>
      <c r="DO135" s="17"/>
      <c r="DP135" s="398"/>
      <c r="DQ135" s="17"/>
    </row>
    <row r="136" spans="74:121" x14ac:dyDescent="0.25">
      <c r="BV136" s="30"/>
      <c r="BY136"/>
      <c r="DA136" s="256"/>
      <c r="DO136" s="17"/>
      <c r="DP136" s="398"/>
      <c r="DQ136" s="17"/>
    </row>
    <row r="137" spans="74:121" x14ac:dyDescent="0.25">
      <c r="BV137" s="30"/>
      <c r="BY137"/>
      <c r="DA137" s="256"/>
      <c r="DO137" s="17"/>
      <c r="DP137" s="398"/>
      <c r="DQ137" s="17"/>
    </row>
    <row r="138" spans="74:121" x14ac:dyDescent="0.25">
      <c r="BV138" s="30"/>
      <c r="BY138"/>
    </row>
    <row r="139" spans="74:121" x14ac:dyDescent="0.25">
      <c r="BV139" s="30"/>
      <c r="BY139"/>
    </row>
    <row r="140" spans="74:121" x14ac:dyDescent="0.25">
      <c r="BW140"/>
      <c r="BX140"/>
      <c r="BY140"/>
    </row>
    <row r="141" spans="74:121" x14ac:dyDescent="0.25">
      <c r="BW141"/>
      <c r="BX141"/>
      <c r="BY141"/>
    </row>
    <row r="142" spans="74:121" x14ac:dyDescent="0.25">
      <c r="BW142"/>
      <c r="BX142"/>
      <c r="BY142"/>
    </row>
    <row r="143" spans="74:121" x14ac:dyDescent="0.25">
      <c r="BW143"/>
      <c r="BX143"/>
      <c r="BY143"/>
    </row>
    <row r="144" spans="74:121" x14ac:dyDescent="0.25">
      <c r="BW144"/>
      <c r="BX144"/>
      <c r="BY144"/>
    </row>
    <row r="145" spans="54:142" x14ac:dyDescent="0.25">
      <c r="BW145"/>
      <c r="BX145"/>
      <c r="BY145"/>
    </row>
    <row r="146" spans="54:142" s="256" customFormat="1" x14ac:dyDescent="0.25">
      <c r="BB146" s="382"/>
      <c r="BV146"/>
      <c r="BW146"/>
      <c r="BX146"/>
      <c r="CL146"/>
      <c r="CM146"/>
      <c r="CN146"/>
      <c r="CO146"/>
      <c r="CP146"/>
      <c r="CQ146"/>
      <c r="CR146"/>
      <c r="CS146"/>
      <c r="CT146"/>
      <c r="CU146"/>
      <c r="CV146"/>
      <c r="CW146"/>
      <c r="CX146"/>
      <c r="CY146"/>
      <c r="CZ146"/>
      <c r="DA146"/>
      <c r="DB146"/>
      <c r="DC146"/>
      <c r="DD146"/>
      <c r="DE146"/>
      <c r="DF146"/>
      <c r="DG146"/>
      <c r="DH146"/>
      <c r="DI146"/>
      <c r="DJ146"/>
      <c r="DK146"/>
      <c r="DL146"/>
      <c r="DM146"/>
      <c r="DN146"/>
      <c r="DO146" s="18"/>
      <c r="DP146" s="57"/>
      <c r="DQ146" s="18"/>
      <c r="DR146"/>
      <c r="DS146"/>
      <c r="DT146"/>
      <c r="DU146"/>
      <c r="DV146"/>
      <c r="DW146"/>
      <c r="DX146"/>
      <c r="DY146"/>
      <c r="DZ146"/>
      <c r="EA146"/>
      <c r="EB146"/>
      <c r="EC146"/>
      <c r="ED146"/>
      <c r="EE146"/>
      <c r="EF146"/>
      <c r="EG146"/>
      <c r="EH146"/>
      <c r="EI146"/>
      <c r="EJ146"/>
      <c r="EK146"/>
      <c r="EL146"/>
    </row>
    <row r="147" spans="54:142" s="256" customFormat="1" x14ac:dyDescent="0.25">
      <c r="BB147" s="382"/>
      <c r="BO147"/>
      <c r="BP147"/>
      <c r="BQ147"/>
      <c r="BR147"/>
      <c r="BS147"/>
      <c r="BT147"/>
      <c r="BU147"/>
      <c r="BV147"/>
      <c r="BY147" s="58"/>
      <c r="BZ147"/>
      <c r="CA147"/>
      <c r="CB147" s="30"/>
      <c r="CC147" s="29"/>
      <c r="CD147"/>
      <c r="CE147"/>
      <c r="CL147"/>
      <c r="CM147"/>
      <c r="CN147"/>
      <c r="CO147"/>
      <c r="CP147"/>
      <c r="CQ147"/>
      <c r="CR147"/>
      <c r="CS147"/>
      <c r="CT147"/>
      <c r="CU147"/>
      <c r="CV147"/>
      <c r="CW147"/>
      <c r="CX147"/>
      <c r="CY147"/>
      <c r="CZ147"/>
      <c r="DA147"/>
      <c r="DB147"/>
      <c r="DC147"/>
      <c r="DD147"/>
      <c r="DE147"/>
      <c r="DF147"/>
      <c r="DG147"/>
      <c r="DH147"/>
      <c r="DI147"/>
      <c r="DJ147"/>
      <c r="DK147"/>
      <c r="DL147"/>
      <c r="DM147"/>
      <c r="DN147"/>
      <c r="DO147" s="18"/>
      <c r="DP147" s="57"/>
      <c r="DQ147" s="18"/>
      <c r="DR147"/>
      <c r="DS147"/>
      <c r="DT147"/>
      <c r="DU147"/>
      <c r="DV147"/>
      <c r="DW147"/>
      <c r="DX147"/>
      <c r="DY147"/>
      <c r="DZ147"/>
      <c r="EA147"/>
      <c r="EB147"/>
      <c r="EC147"/>
      <c r="ED147"/>
      <c r="EE147"/>
      <c r="EF147"/>
      <c r="EG147"/>
      <c r="EH147"/>
      <c r="EI147"/>
      <c r="EJ147"/>
      <c r="EK147"/>
      <c r="EL147"/>
    </row>
    <row r="148" spans="54:142" s="256" customFormat="1" x14ac:dyDescent="0.25">
      <c r="BB148" s="382"/>
      <c r="BO148"/>
      <c r="BP148"/>
      <c r="BQ148"/>
      <c r="BR148"/>
      <c r="BS148"/>
      <c r="BT148"/>
      <c r="BU148"/>
      <c r="BV148"/>
      <c r="BY148" s="58"/>
      <c r="BZ148"/>
      <c r="CA148"/>
      <c r="CB148" s="30"/>
      <c r="CC148" s="29"/>
      <c r="CD148"/>
      <c r="CE148"/>
      <c r="CL148"/>
      <c r="CM148"/>
      <c r="CN148"/>
      <c r="CO148"/>
      <c r="CP148"/>
      <c r="CQ148"/>
      <c r="CR148"/>
      <c r="CS148"/>
      <c r="CT148"/>
      <c r="CU148"/>
      <c r="CV148"/>
      <c r="CW148"/>
      <c r="CX148"/>
      <c r="CY148"/>
      <c r="CZ148"/>
      <c r="DA148"/>
      <c r="DB148"/>
      <c r="DC148"/>
      <c r="DD148"/>
      <c r="DE148"/>
      <c r="DF148"/>
      <c r="DG148"/>
      <c r="DH148"/>
      <c r="DI148"/>
      <c r="DJ148"/>
      <c r="DK148"/>
      <c r="DL148"/>
      <c r="DM148"/>
      <c r="DN148"/>
      <c r="DO148" s="18"/>
      <c r="DP148" s="57"/>
      <c r="DQ148" s="18"/>
      <c r="DR148"/>
      <c r="DS148"/>
      <c r="DT148"/>
      <c r="DU148"/>
      <c r="DV148"/>
      <c r="DW148"/>
      <c r="DX148"/>
      <c r="DY148"/>
      <c r="DZ148"/>
      <c r="EA148"/>
      <c r="EB148"/>
      <c r="EC148"/>
      <c r="ED148"/>
      <c r="EE148"/>
      <c r="EF148"/>
      <c r="EG148"/>
      <c r="EH148"/>
      <c r="EI148"/>
      <c r="EJ148"/>
      <c r="EK148"/>
      <c r="EL148"/>
    </row>
    <row r="149" spans="54:142" s="256" customFormat="1" x14ac:dyDescent="0.25">
      <c r="BB149" s="382"/>
      <c r="BO149"/>
      <c r="BP149"/>
      <c r="BQ149"/>
      <c r="BR149"/>
      <c r="BS149"/>
      <c r="BT149"/>
      <c r="BU149"/>
      <c r="BV149"/>
      <c r="BY149" s="58"/>
      <c r="BZ149"/>
      <c r="CA149"/>
      <c r="CB149" s="30"/>
      <c r="CC149" s="29"/>
      <c r="CD149"/>
      <c r="CE149"/>
      <c r="CL149"/>
      <c r="CM149"/>
      <c r="CN149"/>
      <c r="CO149"/>
      <c r="CP149"/>
      <c r="CQ149"/>
      <c r="CR149"/>
      <c r="CS149"/>
      <c r="CT149"/>
      <c r="CU149"/>
      <c r="CV149"/>
      <c r="CW149"/>
      <c r="CX149"/>
      <c r="CY149"/>
      <c r="CZ149"/>
      <c r="DA149"/>
      <c r="DB149"/>
      <c r="DC149"/>
      <c r="DD149"/>
      <c r="DE149"/>
      <c r="DF149"/>
      <c r="DG149"/>
      <c r="DH149"/>
      <c r="DI149"/>
      <c r="DJ149"/>
      <c r="DK149"/>
      <c r="DL149"/>
      <c r="DM149"/>
      <c r="DN149"/>
      <c r="DO149" s="18"/>
      <c r="DP149" s="57"/>
      <c r="DQ149" s="18"/>
      <c r="DR149"/>
      <c r="DS149"/>
      <c r="DT149"/>
      <c r="DU149"/>
      <c r="DV149"/>
      <c r="DW149"/>
      <c r="DX149"/>
      <c r="DY149"/>
      <c r="DZ149"/>
      <c r="EA149"/>
      <c r="EB149"/>
      <c r="EC149"/>
      <c r="ED149"/>
      <c r="EE149"/>
      <c r="EF149"/>
      <c r="EG149"/>
      <c r="EH149"/>
      <c r="EI149"/>
      <c r="EJ149"/>
      <c r="EK149"/>
      <c r="EL149"/>
    </row>
    <row r="150" spans="54:142" s="256" customFormat="1" x14ac:dyDescent="0.25">
      <c r="BB150" s="382"/>
      <c r="BO150"/>
      <c r="BP150"/>
      <c r="BQ150"/>
      <c r="BR150"/>
      <c r="BS150"/>
      <c r="BT150"/>
      <c r="BU150"/>
      <c r="BV150"/>
      <c r="BY150" s="58"/>
      <c r="BZ150"/>
      <c r="CA150"/>
      <c r="CB150" s="30"/>
      <c r="CC150" s="29"/>
      <c r="CD150"/>
      <c r="CE150"/>
      <c r="CL150"/>
      <c r="CM150"/>
      <c r="CN150"/>
      <c r="CO150"/>
      <c r="CP150"/>
      <c r="CQ150"/>
      <c r="CR150"/>
      <c r="CS150"/>
      <c r="CT150"/>
      <c r="CU150"/>
      <c r="CV150"/>
      <c r="CW150"/>
      <c r="CX150"/>
      <c r="CY150"/>
      <c r="CZ150"/>
      <c r="DA150"/>
      <c r="DB150"/>
      <c r="DC150"/>
      <c r="DD150"/>
      <c r="DE150"/>
      <c r="DF150"/>
      <c r="DG150"/>
      <c r="DH150"/>
      <c r="DI150"/>
      <c r="DJ150"/>
      <c r="DK150"/>
      <c r="DL150"/>
      <c r="DM150"/>
      <c r="DN150"/>
      <c r="DO150" s="18"/>
      <c r="DP150" s="57"/>
      <c r="DQ150" s="18"/>
      <c r="DR150"/>
      <c r="DS150"/>
      <c r="DT150"/>
      <c r="DU150"/>
      <c r="DV150"/>
      <c r="DW150"/>
      <c r="DX150"/>
      <c r="DY150"/>
      <c r="DZ150"/>
      <c r="EA150"/>
      <c r="EB150"/>
      <c r="EC150"/>
      <c r="ED150"/>
      <c r="EE150"/>
      <c r="EF150"/>
      <c r="EG150"/>
      <c r="EH150"/>
      <c r="EI150"/>
      <c r="EJ150"/>
      <c r="EK150"/>
      <c r="EL150"/>
    </row>
    <row r="151" spans="54:142" s="256" customFormat="1" x14ac:dyDescent="0.25">
      <c r="BB151" s="382"/>
      <c r="BO151"/>
      <c r="BP151"/>
      <c r="BQ151"/>
      <c r="BR151"/>
      <c r="BS151"/>
      <c r="BT151"/>
      <c r="BU151"/>
      <c r="BV151"/>
      <c r="BY151" s="58"/>
      <c r="BZ151"/>
      <c r="CA151"/>
      <c r="CB151" s="30"/>
      <c r="CC151" s="29"/>
      <c r="CD151"/>
      <c r="CE151"/>
      <c r="CL151"/>
      <c r="CM151"/>
      <c r="CN151"/>
      <c r="CO151"/>
      <c r="CP151"/>
      <c r="CQ151"/>
      <c r="CR151"/>
      <c r="CS151"/>
      <c r="CT151"/>
      <c r="CU151"/>
      <c r="CV151"/>
      <c r="CW151"/>
      <c r="CX151"/>
      <c r="CY151"/>
      <c r="CZ151"/>
      <c r="DA151"/>
      <c r="DB151"/>
      <c r="DC151"/>
      <c r="DD151"/>
      <c r="DE151"/>
      <c r="DF151"/>
      <c r="DG151"/>
      <c r="DH151"/>
      <c r="DI151"/>
      <c r="DJ151"/>
      <c r="DK151"/>
      <c r="DL151"/>
      <c r="DM151"/>
      <c r="DN151"/>
      <c r="DO151" s="18"/>
      <c r="DP151" s="57"/>
      <c r="DQ151" s="18"/>
      <c r="DR151"/>
      <c r="DS151"/>
      <c r="DT151"/>
      <c r="DU151"/>
      <c r="DV151"/>
      <c r="DW151"/>
      <c r="DX151"/>
      <c r="DY151"/>
      <c r="DZ151"/>
      <c r="EA151"/>
      <c r="EB151"/>
      <c r="EC151"/>
      <c r="ED151"/>
      <c r="EE151"/>
      <c r="EF151"/>
      <c r="EG151"/>
      <c r="EH151"/>
      <c r="EI151"/>
      <c r="EJ151"/>
      <c r="EK151"/>
      <c r="EL151"/>
    </row>
    <row r="152" spans="54:142" s="256" customFormat="1" x14ac:dyDescent="0.25">
      <c r="BB152" s="382"/>
      <c r="BO152"/>
      <c r="BP152"/>
      <c r="BQ152"/>
      <c r="BR152"/>
      <c r="BS152"/>
      <c r="BT152"/>
      <c r="BU152"/>
      <c r="BV152"/>
      <c r="BY152"/>
      <c r="BZ152"/>
      <c r="CA152"/>
      <c r="CB152"/>
      <c r="CC152"/>
      <c r="CD152"/>
      <c r="CE152"/>
      <c r="CL152"/>
      <c r="CM152"/>
      <c r="CN152"/>
      <c r="CO152"/>
      <c r="CP152"/>
      <c r="CQ152"/>
      <c r="CR152"/>
      <c r="CS152"/>
      <c r="CT152"/>
      <c r="CU152"/>
      <c r="CV152"/>
      <c r="CW152"/>
      <c r="CX152"/>
      <c r="CY152"/>
      <c r="CZ152"/>
      <c r="DA152"/>
      <c r="DB152"/>
      <c r="DC152"/>
      <c r="DD152"/>
      <c r="DE152"/>
      <c r="DF152"/>
      <c r="DG152"/>
      <c r="DH152"/>
      <c r="DI152"/>
      <c r="DJ152"/>
      <c r="DK152"/>
      <c r="DL152"/>
      <c r="DM152"/>
      <c r="DN152"/>
      <c r="DO152" s="18"/>
      <c r="DP152" s="57"/>
      <c r="DQ152" s="18"/>
      <c r="DR152"/>
      <c r="DS152"/>
      <c r="DT152"/>
      <c r="DU152"/>
      <c r="DV152"/>
      <c r="DW152"/>
      <c r="DX152"/>
      <c r="DY152"/>
      <c r="DZ152"/>
      <c r="EA152"/>
      <c r="EB152"/>
      <c r="EC152"/>
      <c r="ED152"/>
      <c r="EE152"/>
      <c r="EF152"/>
      <c r="EG152"/>
      <c r="EH152"/>
      <c r="EI152"/>
      <c r="EJ152"/>
      <c r="EK152"/>
      <c r="EL152"/>
    </row>
    <row r="153" spans="54:142" x14ac:dyDescent="0.25">
      <c r="BY153"/>
      <c r="BZ153"/>
      <c r="CA153"/>
      <c r="CB153"/>
      <c r="CC153"/>
      <c r="CD153"/>
      <c r="CE153"/>
    </row>
    <row r="154" spans="54:142" x14ac:dyDescent="0.25">
      <c r="BZ154"/>
      <c r="CA154"/>
      <c r="CB154" s="30"/>
      <c r="CC154" s="29"/>
      <c r="CD154"/>
      <c r="CE154"/>
    </row>
  </sheetData>
  <sheetProtection password="CF27" sheet="1" objects="1" scenarios="1" selectLockedCells="1"/>
  <mergeCells count="89">
    <mergeCell ref="O42:P42"/>
    <mergeCell ref="AE1:AX1"/>
    <mergeCell ref="B39:M40"/>
    <mergeCell ref="B37:M38"/>
    <mergeCell ref="B31:M32"/>
    <mergeCell ref="K35:M35"/>
    <mergeCell ref="Q38:AE39"/>
    <mergeCell ref="AG24:AV24"/>
    <mergeCell ref="AW24:AX24"/>
    <mergeCell ref="AG25:AV25"/>
    <mergeCell ref="AW25:AX25"/>
    <mergeCell ref="AE2:AI2"/>
    <mergeCell ref="O34:P34"/>
    <mergeCell ref="O35:P35"/>
    <mergeCell ref="O36:P36"/>
    <mergeCell ref="O37:P37"/>
    <mergeCell ref="AB21:AC24"/>
    <mergeCell ref="AB20:AC20"/>
    <mergeCell ref="B20:C20"/>
    <mergeCell ref="D21:AA21"/>
    <mergeCell ref="O41:P41"/>
    <mergeCell ref="B36:M36"/>
    <mergeCell ref="B30:M30"/>
    <mergeCell ref="O38:P39"/>
    <mergeCell ref="O40:P40"/>
    <mergeCell ref="BA86:BA91"/>
    <mergeCell ref="C50:H50"/>
    <mergeCell ref="C51:H51"/>
    <mergeCell ref="B34:M34"/>
    <mergeCell ref="B33:M33"/>
    <mergeCell ref="B42:M42"/>
    <mergeCell ref="B45:H45"/>
    <mergeCell ref="C46:H46"/>
    <mergeCell ref="C47:H47"/>
    <mergeCell ref="C48:H48"/>
    <mergeCell ref="C49:H49"/>
    <mergeCell ref="B41:M41"/>
    <mergeCell ref="B43:M43"/>
    <mergeCell ref="Q44:AE44"/>
    <mergeCell ref="O43:P43"/>
    <mergeCell ref="O44:P44"/>
    <mergeCell ref="BG23:BG24"/>
    <mergeCell ref="BH23:BL24"/>
    <mergeCell ref="BX58:BX68"/>
    <mergeCell ref="BN62:BN64"/>
    <mergeCell ref="BA69:BA78"/>
    <mergeCell ref="BW74:CB78"/>
    <mergeCell ref="AG55:AH55"/>
    <mergeCell ref="BN29:BN30"/>
    <mergeCell ref="BG31:BM31"/>
    <mergeCell ref="BN31:BN32"/>
    <mergeCell ref="AG35:AY35"/>
    <mergeCell ref="AG38:AH38"/>
    <mergeCell ref="AZ40:AZ41"/>
    <mergeCell ref="BA40:BF42"/>
    <mergeCell ref="AW41:AX41"/>
    <mergeCell ref="AT42:AT43"/>
    <mergeCell ref="AU42:AY43"/>
    <mergeCell ref="BH15:BL16"/>
    <mergeCell ref="BG17:BG18"/>
    <mergeCell ref="BH17:BL18"/>
    <mergeCell ref="BG19:BG20"/>
    <mergeCell ref="BH19:BL20"/>
    <mergeCell ref="EO3:EP3"/>
    <mergeCell ref="BH4:BJ4"/>
    <mergeCell ref="BN4:BN27"/>
    <mergeCell ref="BG5:BG6"/>
    <mergeCell ref="BH5:BL6"/>
    <mergeCell ref="BG7:BG8"/>
    <mergeCell ref="BH7:BL8"/>
    <mergeCell ref="BG9:BG10"/>
    <mergeCell ref="BH9:BL10"/>
    <mergeCell ref="BG21:BG22"/>
    <mergeCell ref="BH21:BL22"/>
    <mergeCell ref="BG11:BG12"/>
    <mergeCell ref="BH11:BL12"/>
    <mergeCell ref="BG13:BG14"/>
    <mergeCell ref="BH13:BL14"/>
    <mergeCell ref="BG15:BG16"/>
    <mergeCell ref="DU1:DW2"/>
    <mergeCell ref="EB1:EG1"/>
    <mergeCell ref="EI1:EK1"/>
    <mergeCell ref="DX2:DY2"/>
    <mergeCell ref="EB2:ED2"/>
    <mergeCell ref="BO1:BS1"/>
    <mergeCell ref="BT1:CC1"/>
    <mergeCell ref="DB1:DC1"/>
    <mergeCell ref="BG3:BL3"/>
    <mergeCell ref="BM3:BN3"/>
  </mergeCells>
  <pageMargins left="0.7" right="0.7" top="0.75" bottom="0" header="0.3" footer="0.3"/>
  <pageSetup scale="34" orientation="portrait" r:id="rId1"/>
  <colBreaks count="1" manualBreakCount="1">
    <brk id="66"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B1:AO512"/>
  <sheetViews>
    <sheetView zoomScale="80" zoomScaleNormal="80" workbookViewId="0">
      <selection activeCell="E15" sqref="E15"/>
    </sheetView>
  </sheetViews>
  <sheetFormatPr defaultRowHeight="12.5" x14ac:dyDescent="0.25"/>
  <cols>
    <col min="1" max="1" width="1.54296875" customWidth="1"/>
    <col min="2" max="2" width="80.7265625" customWidth="1"/>
    <col min="3" max="3" width="11.7265625" style="150" customWidth="1"/>
    <col min="4" max="4" width="12.54296875" style="149" customWidth="1"/>
    <col min="5" max="5" width="12.54296875" customWidth="1"/>
    <col min="6" max="6" width="9.1796875" style="150"/>
    <col min="7" max="7" width="12.453125" bestFit="1" customWidth="1"/>
    <col min="8" max="8" width="12.54296875" style="150" customWidth="1"/>
    <col min="9" max="9" width="12.54296875" customWidth="1"/>
    <col min="10" max="10" width="11.54296875" style="335" customWidth="1"/>
    <col min="26" max="26" width="12.7265625" customWidth="1"/>
    <col min="30" max="30" width="13.54296875" customWidth="1"/>
    <col min="31" max="31" width="11.26953125" customWidth="1"/>
    <col min="32" max="32" width="17.81640625" bestFit="1" customWidth="1"/>
    <col min="33" max="33" width="18.453125" bestFit="1" customWidth="1"/>
    <col min="34" max="35" width="29.54296875" bestFit="1" customWidth="1"/>
  </cols>
  <sheetData>
    <row r="1" spans="2:41" ht="13" x14ac:dyDescent="0.3">
      <c r="B1" s="298"/>
      <c r="C1" s="174" t="s">
        <v>47</v>
      </c>
      <c r="D1" s="175"/>
      <c r="E1" s="127"/>
      <c r="F1" s="127"/>
      <c r="G1" s="127"/>
      <c r="H1" s="127"/>
      <c r="I1" s="127"/>
      <c r="J1" s="328"/>
      <c r="K1" s="127"/>
      <c r="L1" s="127"/>
      <c r="M1" s="193" t="s">
        <v>283</v>
      </c>
      <c r="N1" s="127"/>
      <c r="O1" s="127"/>
      <c r="P1" s="127"/>
      <c r="Q1" s="127"/>
      <c r="R1" s="127"/>
      <c r="S1" s="127"/>
      <c r="T1" s="127"/>
      <c r="U1" s="127"/>
      <c r="V1" s="127"/>
      <c r="W1" s="127"/>
      <c r="X1" s="127"/>
      <c r="Y1" s="127"/>
      <c r="Z1" s="127"/>
      <c r="AA1" s="127"/>
      <c r="AB1" s="127"/>
      <c r="AC1" s="127"/>
      <c r="AD1" s="127"/>
      <c r="AE1" s="127"/>
      <c r="AF1" s="178" t="s">
        <v>44</v>
      </c>
      <c r="AG1" s="183">
        <f>'Current version'!AZ33</f>
        <v>4</v>
      </c>
      <c r="AH1" s="127"/>
      <c r="AI1" s="127"/>
      <c r="AJ1" s="127"/>
      <c r="AK1" s="127"/>
      <c r="AL1" s="127"/>
      <c r="AM1" s="127"/>
      <c r="AN1" s="127"/>
      <c r="AO1" s="127"/>
    </row>
    <row r="2" spans="2:41" ht="13" x14ac:dyDescent="0.3">
      <c r="B2" s="127"/>
      <c r="C2" s="176" t="s">
        <v>48</v>
      </c>
      <c r="D2" s="174"/>
      <c r="E2" s="127"/>
      <c r="F2" s="127"/>
      <c r="G2" s="127"/>
      <c r="H2" s="127"/>
      <c r="I2" s="177" t="s">
        <v>49</v>
      </c>
      <c r="J2" s="328" t="s">
        <v>50</v>
      </c>
      <c r="K2" s="127"/>
      <c r="L2" s="127"/>
      <c r="M2" s="127">
        <v>2000</v>
      </c>
      <c r="N2" s="127" t="s">
        <v>284</v>
      </c>
      <c r="O2" s="127"/>
      <c r="P2" s="127"/>
      <c r="Q2" s="127"/>
      <c r="R2" s="127"/>
      <c r="S2" s="127"/>
      <c r="T2" s="127"/>
      <c r="U2" s="127"/>
      <c r="V2" s="127"/>
      <c r="W2" s="127"/>
      <c r="X2" s="127"/>
      <c r="Y2" s="127"/>
      <c r="Z2" s="127"/>
      <c r="AA2" s="127"/>
      <c r="AB2" s="127"/>
      <c r="AC2" s="127"/>
      <c r="AD2" s="127"/>
      <c r="AE2" t="s">
        <v>288</v>
      </c>
      <c r="AF2" t="s">
        <v>289</v>
      </c>
      <c r="AG2" t="s">
        <v>291</v>
      </c>
      <c r="AH2" s="127" t="s">
        <v>290</v>
      </c>
      <c r="AI2" s="127" t="s">
        <v>292</v>
      </c>
      <c r="AK2" s="388" t="s">
        <v>337</v>
      </c>
      <c r="AL2" s="127"/>
      <c r="AM2" s="127"/>
      <c r="AN2" s="127"/>
      <c r="AO2" s="127"/>
    </row>
    <row r="3" spans="2:41" ht="13" x14ac:dyDescent="0.3">
      <c r="B3" s="127"/>
      <c r="C3" s="176" t="s">
        <v>51</v>
      </c>
      <c r="D3" s="174"/>
      <c r="E3" s="127"/>
      <c r="F3" s="127"/>
      <c r="G3" s="127"/>
      <c r="H3" s="127"/>
      <c r="I3" s="127"/>
      <c r="J3" s="328"/>
      <c r="K3" s="127"/>
      <c r="L3" s="127"/>
      <c r="M3" s="127">
        <v>4500</v>
      </c>
      <c r="N3" s="127" t="s">
        <v>285</v>
      </c>
      <c r="O3" s="127"/>
      <c r="P3" s="127"/>
      <c r="Q3" s="127"/>
      <c r="R3" s="127"/>
      <c r="S3" s="127"/>
      <c r="T3" s="127"/>
      <c r="U3" s="127"/>
      <c r="V3" s="127"/>
      <c r="W3" s="127"/>
      <c r="X3" s="127"/>
      <c r="Y3" s="127"/>
      <c r="Z3" s="127"/>
      <c r="AA3" s="127"/>
      <c r="AB3" s="127"/>
      <c r="AC3" s="527" t="s">
        <v>294</v>
      </c>
      <c r="AD3" s="527"/>
      <c r="AE3" s="295">
        <v>0</v>
      </c>
      <c r="AF3" s="297">
        <v>1</v>
      </c>
      <c r="AG3" s="297">
        <v>2</v>
      </c>
      <c r="AH3" s="297">
        <v>3</v>
      </c>
      <c r="AI3" s="297">
        <v>4</v>
      </c>
      <c r="AJ3" s="127"/>
      <c r="AK3" s="179" t="s">
        <v>322</v>
      </c>
      <c r="AL3" s="127"/>
      <c r="AM3" s="127"/>
      <c r="AN3" s="127"/>
      <c r="AO3" s="127"/>
    </row>
    <row r="4" spans="2:41" ht="13" x14ac:dyDescent="0.3">
      <c r="B4" s="127"/>
      <c r="C4" s="179" t="s">
        <v>2</v>
      </c>
      <c r="D4" s="180" t="s">
        <v>59</v>
      </c>
      <c r="E4" s="127"/>
      <c r="F4" s="127"/>
      <c r="G4" s="127"/>
      <c r="H4" s="127"/>
      <c r="I4" s="127"/>
      <c r="J4" s="328"/>
      <c r="K4" s="127"/>
      <c r="L4" s="127"/>
      <c r="M4" s="127"/>
      <c r="N4" s="127"/>
      <c r="O4" s="127"/>
      <c r="P4" s="127"/>
      <c r="Q4" s="127"/>
      <c r="R4" s="127"/>
      <c r="S4" s="127"/>
      <c r="T4" s="127"/>
      <c r="U4" s="127"/>
      <c r="V4" s="127"/>
      <c r="W4" s="127"/>
      <c r="X4" s="127"/>
      <c r="Y4" s="127"/>
      <c r="Z4" s="127"/>
      <c r="AA4" s="127"/>
      <c r="AB4" s="127"/>
      <c r="AC4" s="181">
        <f>'Current version'!AZ4</f>
        <v>40544</v>
      </c>
      <c r="AD4" s="175">
        <f>IF($AG$1=0,0,IF($AG$1=1,AF4,IF($AG$1=2,AG4,IF($AG$1=3,AH4,IF($AG$1=4,AI4,IF($AG$1="x",AK4,"error"))))))</f>
        <v>0</v>
      </c>
      <c r="AE4" s="296"/>
      <c r="AF4" s="175"/>
      <c r="AG4" s="175"/>
      <c r="AH4" s="175"/>
      <c r="AI4" s="175"/>
      <c r="AJ4" s="127"/>
      <c r="AK4" s="114"/>
      <c r="AL4" s="181">
        <f>AC4</f>
        <v>40544</v>
      </c>
      <c r="AM4" s="127"/>
      <c r="AN4" s="127"/>
      <c r="AO4" s="127"/>
    </row>
    <row r="5" spans="2:41" ht="13" x14ac:dyDescent="0.3">
      <c r="B5" s="127"/>
      <c r="C5" s="179" t="s">
        <v>52</v>
      </c>
      <c r="D5" s="180" t="s">
        <v>62</v>
      </c>
      <c r="E5" s="127"/>
      <c r="F5" s="127"/>
      <c r="G5" s="127"/>
      <c r="H5" s="127"/>
      <c r="I5" s="127"/>
      <c r="J5" s="328"/>
      <c r="K5" s="127"/>
      <c r="L5" s="127"/>
      <c r="M5" s="127"/>
      <c r="N5" s="127"/>
      <c r="O5" s="127"/>
      <c r="P5" s="127"/>
      <c r="Q5" s="127"/>
      <c r="R5" s="127"/>
      <c r="S5" s="127"/>
      <c r="T5" s="127"/>
      <c r="U5" s="127"/>
      <c r="V5" s="127"/>
      <c r="W5" s="127"/>
      <c r="X5" s="127"/>
      <c r="Y5" s="127"/>
      <c r="Z5" s="127"/>
      <c r="AA5" s="127"/>
      <c r="AB5" s="127"/>
      <c r="AC5" s="181">
        <f>'Current version'!AZ5</f>
        <v>40558</v>
      </c>
      <c r="AD5" s="434">
        <f t="shared" ref="AD5:AD27" si="0">IF($AG$1=0,0,IF($AG$1=1,AF5,IF($AG$1=2,AG5,IF($AG$1=3,AH5,IF($AG$1=4,AI5,IF($AG$1="x",AK5,"error"))))))</f>
        <v>0</v>
      </c>
      <c r="AE5" s="296"/>
      <c r="AF5" s="175"/>
      <c r="AG5" s="175"/>
      <c r="AH5" s="175"/>
      <c r="AI5" s="175"/>
      <c r="AJ5" s="127"/>
      <c r="AK5" s="114"/>
      <c r="AL5" s="181">
        <f t="shared" ref="AL5:AL27" si="1">AC5</f>
        <v>40558</v>
      </c>
      <c r="AM5" s="127"/>
      <c r="AN5" s="127"/>
      <c r="AO5" s="127"/>
    </row>
    <row r="6" spans="2:41" ht="13" x14ac:dyDescent="0.3">
      <c r="B6" s="127"/>
      <c r="C6" s="179" t="s">
        <v>53</v>
      </c>
      <c r="D6" s="180" t="s">
        <v>60</v>
      </c>
      <c r="E6" s="127"/>
      <c r="F6" s="127"/>
      <c r="G6" s="127"/>
      <c r="H6" s="127"/>
      <c r="I6" s="127"/>
      <c r="J6" s="328"/>
      <c r="K6" s="127"/>
      <c r="L6" s="127"/>
      <c r="M6" s="127"/>
      <c r="N6" s="127"/>
      <c r="O6" s="127"/>
      <c r="P6" s="127"/>
      <c r="Q6" s="127"/>
      <c r="R6" s="127"/>
      <c r="S6" s="127"/>
      <c r="T6" s="127"/>
      <c r="U6" s="127"/>
      <c r="V6" s="127"/>
      <c r="W6" s="127"/>
      <c r="X6" s="127"/>
      <c r="Y6" s="127"/>
      <c r="Z6" s="127"/>
      <c r="AA6" s="127"/>
      <c r="AB6" s="127"/>
      <c r="AC6" s="181">
        <f>'Current version'!AZ6</f>
        <v>40575</v>
      </c>
      <c r="AD6" s="434">
        <f t="shared" si="0"/>
        <v>0</v>
      </c>
      <c r="AE6" s="296"/>
      <c r="AF6" s="175"/>
      <c r="AG6" s="175"/>
      <c r="AH6" s="175"/>
      <c r="AI6" s="175"/>
      <c r="AJ6" s="127"/>
      <c r="AK6" s="114"/>
      <c r="AL6" s="181">
        <f t="shared" si="1"/>
        <v>40575</v>
      </c>
      <c r="AM6" s="127"/>
      <c r="AN6" s="127"/>
      <c r="AO6" s="127"/>
    </row>
    <row r="7" spans="2:41" ht="13" x14ac:dyDescent="0.3">
      <c r="B7" s="127"/>
      <c r="C7" s="179" t="s">
        <v>54</v>
      </c>
      <c r="D7" s="180" t="s">
        <v>61</v>
      </c>
      <c r="E7" s="127"/>
      <c r="F7" s="127"/>
      <c r="G7" s="127"/>
      <c r="H7" s="127"/>
      <c r="I7" s="127"/>
      <c r="J7" s="328"/>
      <c r="K7" s="127"/>
      <c r="L7" s="127"/>
      <c r="M7" s="127"/>
      <c r="N7" s="127"/>
      <c r="O7" s="127"/>
      <c r="P7" s="127"/>
      <c r="Q7" s="127"/>
      <c r="R7" s="127"/>
      <c r="S7" s="127"/>
      <c r="T7" s="127"/>
      <c r="U7" s="127"/>
      <c r="V7" s="127"/>
      <c r="W7" s="127"/>
      <c r="X7" s="127"/>
      <c r="Y7" s="127"/>
      <c r="Z7" s="127"/>
      <c r="AA7" s="127"/>
      <c r="AB7" s="127"/>
      <c r="AC7" s="181">
        <f>'Current version'!AZ7</f>
        <v>40589</v>
      </c>
      <c r="AD7" s="434">
        <f t="shared" si="0"/>
        <v>0</v>
      </c>
      <c r="AE7" s="296"/>
      <c r="AF7" s="175"/>
      <c r="AG7" s="175"/>
      <c r="AH7" s="175"/>
      <c r="AI7" s="175"/>
      <c r="AJ7" s="127"/>
      <c r="AK7" s="114"/>
      <c r="AL7" s="181">
        <f t="shared" si="1"/>
        <v>40589</v>
      </c>
      <c r="AM7" s="127"/>
      <c r="AN7" s="127"/>
      <c r="AO7" s="127"/>
    </row>
    <row r="8" spans="2:41" ht="13" x14ac:dyDescent="0.3">
      <c r="B8" s="127"/>
      <c r="C8" s="179" t="s">
        <v>55</v>
      </c>
      <c r="D8" s="180" t="s">
        <v>202</v>
      </c>
      <c r="E8" s="127"/>
      <c r="F8" s="127"/>
      <c r="G8" s="127"/>
      <c r="H8" s="127"/>
      <c r="I8" s="127"/>
      <c r="J8" s="328"/>
      <c r="K8" s="127"/>
      <c r="L8" s="127"/>
      <c r="M8" s="127"/>
      <c r="N8" s="127"/>
      <c r="O8" s="127"/>
      <c r="P8" s="127"/>
      <c r="Q8" s="127"/>
      <c r="R8" s="127"/>
      <c r="S8" s="127"/>
      <c r="T8" s="127"/>
      <c r="U8" s="127"/>
      <c r="V8" s="127"/>
      <c r="W8" s="127"/>
      <c r="X8" s="127"/>
      <c r="Y8" s="127"/>
      <c r="Z8" s="127"/>
      <c r="AA8" s="127"/>
      <c r="AB8" s="127"/>
      <c r="AC8" s="181">
        <f>'Current version'!AZ8</f>
        <v>40603</v>
      </c>
      <c r="AD8" s="434">
        <f t="shared" si="0"/>
        <v>0</v>
      </c>
      <c r="AE8" s="296"/>
      <c r="AF8" s="175"/>
      <c r="AG8" s="175"/>
      <c r="AH8" s="175"/>
      <c r="AI8" s="175"/>
      <c r="AJ8" s="127"/>
      <c r="AK8" s="114"/>
      <c r="AL8" s="181">
        <f t="shared" si="1"/>
        <v>40603</v>
      </c>
      <c r="AM8" s="127"/>
      <c r="AN8" s="127"/>
      <c r="AO8" s="127"/>
    </row>
    <row r="9" spans="2:41" ht="13" x14ac:dyDescent="0.3">
      <c r="B9" s="127"/>
      <c r="C9" s="179" t="s">
        <v>56</v>
      </c>
      <c r="D9" s="180" t="s">
        <v>64</v>
      </c>
      <c r="E9" s="127"/>
      <c r="F9" s="127"/>
      <c r="G9" s="127"/>
      <c r="H9" s="127"/>
      <c r="I9" s="127"/>
      <c r="J9" s="328"/>
      <c r="K9" s="127"/>
      <c r="L9" s="127"/>
      <c r="M9" s="127"/>
      <c r="N9" s="127"/>
      <c r="O9" s="127"/>
      <c r="P9" s="127"/>
      <c r="Q9" s="127"/>
      <c r="R9" s="127"/>
      <c r="S9" s="127"/>
      <c r="T9" s="127"/>
      <c r="U9" s="127"/>
      <c r="V9" s="127"/>
      <c r="W9" s="127"/>
      <c r="X9" s="127"/>
      <c r="Y9" s="127"/>
      <c r="Z9" s="127"/>
      <c r="AA9" s="127"/>
      <c r="AB9" s="127"/>
      <c r="AC9" s="181">
        <f>'Current version'!AZ9</f>
        <v>40617</v>
      </c>
      <c r="AD9" s="434">
        <f t="shared" si="0"/>
        <v>0</v>
      </c>
      <c r="AE9" s="296"/>
      <c r="AF9" s="175"/>
      <c r="AG9" s="175"/>
      <c r="AH9" s="175"/>
      <c r="AI9" s="175"/>
      <c r="AJ9" s="127"/>
      <c r="AK9" s="114"/>
      <c r="AL9" s="181">
        <f t="shared" si="1"/>
        <v>40617</v>
      </c>
      <c r="AM9" s="127"/>
      <c r="AN9" s="127"/>
      <c r="AO9" s="127"/>
    </row>
    <row r="10" spans="2:41" ht="13" x14ac:dyDescent="0.3">
      <c r="B10" s="127"/>
      <c r="C10" s="179" t="s">
        <v>57</v>
      </c>
      <c r="D10" s="180" t="s">
        <v>63</v>
      </c>
      <c r="E10" s="127"/>
      <c r="F10" s="127"/>
      <c r="G10" s="127"/>
      <c r="H10" s="127"/>
      <c r="I10" s="127"/>
      <c r="J10" s="328"/>
      <c r="K10" s="127"/>
      <c r="L10" s="127"/>
      <c r="M10" s="127"/>
      <c r="N10" s="127"/>
      <c r="O10" s="127"/>
      <c r="P10" s="127"/>
      <c r="Q10" s="127"/>
      <c r="R10" s="127"/>
      <c r="S10" s="127"/>
      <c r="T10" s="127"/>
      <c r="U10" s="127"/>
      <c r="V10" s="127"/>
      <c r="W10" s="127"/>
      <c r="X10" s="127"/>
      <c r="Y10" s="127"/>
      <c r="Z10" s="127"/>
      <c r="AA10" s="127"/>
      <c r="AB10" s="127"/>
      <c r="AC10" s="181">
        <f>'Current version'!AZ10</f>
        <v>40634</v>
      </c>
      <c r="AD10" s="434">
        <f t="shared" si="0"/>
        <v>0</v>
      </c>
      <c r="AE10" s="296"/>
      <c r="AF10" s="175"/>
      <c r="AG10" s="175"/>
      <c r="AH10" s="175"/>
      <c r="AI10" s="175"/>
      <c r="AJ10" s="127"/>
      <c r="AK10" s="114"/>
      <c r="AL10" s="181">
        <f t="shared" si="1"/>
        <v>40634</v>
      </c>
      <c r="AM10" s="127"/>
      <c r="AN10" s="127"/>
      <c r="AO10" s="127"/>
    </row>
    <row r="11" spans="2:41" ht="13" x14ac:dyDescent="0.3">
      <c r="B11" s="127"/>
      <c r="C11" s="179" t="s">
        <v>41</v>
      </c>
      <c r="D11" s="180" t="s">
        <v>65</v>
      </c>
      <c r="E11" s="127"/>
      <c r="F11" s="127"/>
      <c r="G11" s="127"/>
      <c r="H11" s="127"/>
      <c r="I11" s="127"/>
      <c r="J11" s="328"/>
      <c r="K11" s="127"/>
      <c r="L11" s="127"/>
      <c r="M11" s="127"/>
      <c r="N11" s="127"/>
      <c r="O11" s="127"/>
      <c r="P11" s="127"/>
      <c r="Q11" s="127"/>
      <c r="R11" s="127"/>
      <c r="S11" s="127"/>
      <c r="T11" s="127"/>
      <c r="U11" s="127"/>
      <c r="V11" s="127"/>
      <c r="W11" s="127"/>
      <c r="X11" s="127"/>
      <c r="Y11" s="127"/>
      <c r="Z11" s="127"/>
      <c r="AA11" s="127"/>
      <c r="AB11" s="127"/>
      <c r="AC11" s="181">
        <f>'Current version'!AZ11</f>
        <v>40648</v>
      </c>
      <c r="AD11" s="434">
        <f t="shared" si="0"/>
        <v>0</v>
      </c>
      <c r="AE11" s="296"/>
      <c r="AF11" s="175"/>
      <c r="AG11" s="175"/>
      <c r="AH11" s="175"/>
      <c r="AI11" s="175"/>
      <c r="AJ11" s="127"/>
      <c r="AK11" s="114"/>
      <c r="AL11" s="181">
        <f t="shared" si="1"/>
        <v>40648</v>
      </c>
      <c r="AM11" s="127"/>
      <c r="AN11" s="127"/>
      <c r="AO11" s="127"/>
    </row>
    <row r="12" spans="2:41" ht="13" x14ac:dyDescent="0.3">
      <c r="B12" s="127"/>
      <c r="C12" s="179" t="s">
        <v>58</v>
      </c>
      <c r="D12" s="180" t="s">
        <v>66</v>
      </c>
      <c r="E12" s="127"/>
      <c r="F12" s="127"/>
      <c r="G12" s="127"/>
      <c r="H12" s="127"/>
      <c r="I12" s="127"/>
      <c r="J12" s="328"/>
      <c r="K12" s="127"/>
      <c r="L12" s="127"/>
      <c r="M12" s="127"/>
      <c r="N12" s="127"/>
      <c r="O12" s="127"/>
      <c r="P12" s="127"/>
      <c r="Q12" s="127"/>
      <c r="R12" s="127"/>
      <c r="S12" s="127"/>
      <c r="T12" s="127"/>
      <c r="U12" s="127"/>
      <c r="V12" s="127"/>
      <c r="W12" s="127"/>
      <c r="X12" s="127"/>
      <c r="Y12" s="127"/>
      <c r="Z12" s="127"/>
      <c r="AA12" s="127"/>
      <c r="AB12" s="127"/>
      <c r="AC12" s="181">
        <f>'Current version'!AZ12</f>
        <v>40664</v>
      </c>
      <c r="AD12" s="434">
        <f t="shared" si="0"/>
        <v>0</v>
      </c>
      <c r="AE12" s="296"/>
      <c r="AF12" s="175"/>
      <c r="AG12" s="175"/>
      <c r="AH12" s="175"/>
      <c r="AI12" s="175"/>
      <c r="AJ12" s="127"/>
      <c r="AK12" s="114"/>
      <c r="AL12" s="181">
        <f t="shared" si="1"/>
        <v>40664</v>
      </c>
      <c r="AM12" s="127"/>
      <c r="AN12" s="127"/>
      <c r="AO12" s="127"/>
    </row>
    <row r="13" spans="2:41" ht="13" x14ac:dyDescent="0.3">
      <c r="B13" s="127"/>
      <c r="C13" s="176" t="s">
        <v>67</v>
      </c>
      <c r="D13" s="174"/>
      <c r="E13" s="127"/>
      <c r="F13" s="127"/>
      <c r="G13" s="127"/>
      <c r="H13" s="127"/>
      <c r="I13" s="127"/>
      <c r="J13" s="328"/>
      <c r="K13" s="127"/>
      <c r="L13" s="127"/>
      <c r="M13" s="127"/>
      <c r="N13" s="127"/>
      <c r="O13" s="127"/>
      <c r="P13" s="127"/>
      <c r="Q13" s="127"/>
      <c r="R13" s="127"/>
      <c r="S13" s="127"/>
      <c r="T13" s="127"/>
      <c r="U13" s="127"/>
      <c r="V13" s="127"/>
      <c r="W13" s="127"/>
      <c r="X13" s="127"/>
      <c r="Y13" s="127"/>
      <c r="Z13" s="127"/>
      <c r="AA13" s="127"/>
      <c r="AB13" s="127"/>
      <c r="AC13" s="181">
        <f>'Current version'!AZ13</f>
        <v>40678</v>
      </c>
      <c r="AD13" s="434">
        <f t="shared" si="0"/>
        <v>0</v>
      </c>
      <c r="AE13" s="296"/>
      <c r="AF13" s="175"/>
      <c r="AG13" s="175"/>
      <c r="AH13" s="175"/>
      <c r="AI13" s="175"/>
      <c r="AJ13" s="127"/>
      <c r="AK13" s="114"/>
      <c r="AL13" s="181">
        <f t="shared" si="1"/>
        <v>40678</v>
      </c>
      <c r="AN13" s="127"/>
      <c r="AO13" s="127"/>
    </row>
    <row r="14" spans="2:41" ht="13" x14ac:dyDescent="0.3">
      <c r="B14" s="127"/>
      <c r="C14" s="176" t="s">
        <v>68</v>
      </c>
      <c r="D14" s="174"/>
      <c r="E14" s="127"/>
      <c r="F14" s="127"/>
      <c r="G14" s="127"/>
      <c r="H14" s="127"/>
      <c r="I14" s="127"/>
      <c r="J14" s="328"/>
      <c r="K14" s="127"/>
      <c r="L14" s="127"/>
      <c r="M14" s="127"/>
      <c r="N14" s="127"/>
      <c r="O14" s="127"/>
      <c r="P14" s="127"/>
      <c r="Q14" s="127"/>
      <c r="R14" s="127"/>
      <c r="S14" s="127"/>
      <c r="T14" s="127"/>
      <c r="U14" s="127"/>
      <c r="V14" s="127"/>
      <c r="W14" s="127"/>
      <c r="X14" s="127"/>
      <c r="Y14" s="127"/>
      <c r="Z14" s="127"/>
      <c r="AA14" s="127"/>
      <c r="AB14" s="127"/>
      <c r="AC14" s="181">
        <f>'Current version'!AZ14</f>
        <v>40695</v>
      </c>
      <c r="AD14" s="434">
        <f t="shared" si="0"/>
        <v>20</v>
      </c>
      <c r="AE14" s="296">
        <v>0</v>
      </c>
      <c r="AF14">
        <v>2</v>
      </c>
      <c r="AG14" s="175">
        <v>5</v>
      </c>
      <c r="AH14" s="175">
        <v>10</v>
      </c>
      <c r="AI14" s="175">
        <v>20</v>
      </c>
      <c r="AJ14" s="127"/>
      <c r="AK14" s="177">
        <v>35</v>
      </c>
      <c r="AL14" s="181">
        <f t="shared" si="1"/>
        <v>40695</v>
      </c>
      <c r="AN14" s="127"/>
      <c r="AO14" s="127"/>
    </row>
    <row r="15" spans="2:41" x14ac:dyDescent="0.25">
      <c r="B15" s="127"/>
      <c r="C15" s="180" t="s">
        <v>70</v>
      </c>
      <c r="D15" s="175"/>
      <c r="E15" s="127"/>
      <c r="F15" s="127"/>
      <c r="G15" s="127"/>
      <c r="H15" s="127"/>
      <c r="I15" s="127"/>
      <c r="J15" s="328"/>
      <c r="K15" s="127"/>
      <c r="L15" s="127"/>
      <c r="M15" s="127"/>
      <c r="N15" s="127"/>
      <c r="O15" s="127"/>
      <c r="P15" s="127"/>
      <c r="Q15" s="127"/>
      <c r="R15" s="127"/>
      <c r="S15" s="127"/>
      <c r="T15" s="127"/>
      <c r="U15" s="127"/>
      <c r="V15" s="127"/>
      <c r="W15" s="127"/>
      <c r="X15" s="127"/>
      <c r="Y15" s="127"/>
      <c r="Z15" s="127"/>
      <c r="AA15" s="127"/>
      <c r="AB15" s="127"/>
      <c r="AC15" s="181">
        <f>'Current version'!AZ15</f>
        <v>40709</v>
      </c>
      <c r="AD15" s="434">
        <f t="shared" si="0"/>
        <v>30</v>
      </c>
      <c r="AE15" s="296">
        <v>0</v>
      </c>
      <c r="AF15">
        <v>3</v>
      </c>
      <c r="AG15" s="175">
        <v>5</v>
      </c>
      <c r="AH15" s="175">
        <v>10</v>
      </c>
      <c r="AI15" s="175">
        <v>30</v>
      </c>
      <c r="AJ15" s="127"/>
      <c r="AK15" s="177">
        <v>35</v>
      </c>
      <c r="AL15" s="181">
        <f t="shared" si="1"/>
        <v>40709</v>
      </c>
      <c r="AN15" s="127"/>
      <c r="AO15" s="127"/>
    </row>
    <row r="16" spans="2:41" ht="13" x14ac:dyDescent="0.3">
      <c r="B16" s="127"/>
      <c r="C16" s="127" t="s">
        <v>71</v>
      </c>
      <c r="D16" s="175"/>
      <c r="E16" s="127"/>
      <c r="F16" s="127"/>
      <c r="G16" s="127"/>
      <c r="H16" s="127"/>
      <c r="I16" s="127"/>
      <c r="J16" s="328"/>
      <c r="K16" s="127"/>
      <c r="L16" s="127"/>
      <c r="M16" s="127"/>
      <c r="N16" s="127"/>
      <c r="O16" s="127"/>
      <c r="P16" s="127"/>
      <c r="Q16" s="127"/>
      <c r="R16" s="127"/>
      <c r="S16" s="127"/>
      <c r="T16" s="127"/>
      <c r="U16" s="127"/>
      <c r="V16" s="127"/>
      <c r="W16" s="127"/>
      <c r="X16" s="127"/>
      <c r="Y16" s="127"/>
      <c r="Z16" s="127"/>
      <c r="AA16" s="179"/>
      <c r="AB16" s="127"/>
      <c r="AC16" s="181">
        <f>'Current version'!AZ16</f>
        <v>40725</v>
      </c>
      <c r="AD16" s="434">
        <f t="shared" si="0"/>
        <v>45</v>
      </c>
      <c r="AE16" s="296">
        <v>0</v>
      </c>
      <c r="AF16">
        <v>5</v>
      </c>
      <c r="AG16" s="175">
        <v>15</v>
      </c>
      <c r="AH16" s="175">
        <v>21</v>
      </c>
      <c r="AI16" s="175">
        <v>45</v>
      </c>
      <c r="AJ16" s="127"/>
      <c r="AK16" s="177">
        <v>35</v>
      </c>
      <c r="AL16" s="181">
        <f t="shared" si="1"/>
        <v>40725</v>
      </c>
      <c r="AN16" s="127"/>
      <c r="AO16" s="127"/>
    </row>
    <row r="17" spans="2:41" ht="13" x14ac:dyDescent="0.3">
      <c r="B17" s="127"/>
      <c r="C17" s="180" t="s">
        <v>74</v>
      </c>
      <c r="D17" s="175"/>
      <c r="E17" s="127"/>
      <c r="F17" s="127"/>
      <c r="G17" s="127"/>
      <c r="H17" s="182" t="s">
        <v>80</v>
      </c>
      <c r="I17" s="114">
        <v>1500</v>
      </c>
      <c r="J17" s="328" t="s">
        <v>72</v>
      </c>
      <c r="K17" s="127"/>
      <c r="L17" s="127"/>
      <c r="M17" s="127"/>
      <c r="N17" s="127"/>
      <c r="O17" s="127"/>
      <c r="P17" s="184">
        <f>I17*20/4500</f>
        <v>6.666666666666667</v>
      </c>
      <c r="Q17" s="127" t="s">
        <v>234</v>
      </c>
      <c r="R17" s="127"/>
      <c r="S17" s="127"/>
      <c r="T17" s="127"/>
      <c r="U17" s="127"/>
      <c r="V17" s="127"/>
      <c r="W17" s="127"/>
      <c r="X17" s="127"/>
      <c r="Y17" s="127"/>
      <c r="Z17" s="127"/>
      <c r="AA17" s="179"/>
      <c r="AB17" s="127"/>
      <c r="AC17" s="181">
        <f>'Current version'!AZ17</f>
        <v>40739</v>
      </c>
      <c r="AD17" s="434">
        <f t="shared" si="0"/>
        <v>75</v>
      </c>
      <c r="AE17" s="296">
        <v>0</v>
      </c>
      <c r="AF17">
        <f>AG17/2</f>
        <v>10</v>
      </c>
      <c r="AG17" s="175">
        <v>20</v>
      </c>
      <c r="AH17" s="175">
        <v>45</v>
      </c>
      <c r="AI17" s="175">
        <v>75</v>
      </c>
      <c r="AJ17" s="127"/>
      <c r="AK17" s="177">
        <v>35</v>
      </c>
      <c r="AL17" s="181">
        <f t="shared" si="1"/>
        <v>40739</v>
      </c>
      <c r="AN17" s="127"/>
      <c r="AO17" s="127"/>
    </row>
    <row r="18" spans="2:41" ht="13" x14ac:dyDescent="0.3">
      <c r="B18" s="127"/>
      <c r="C18" s="180" t="s">
        <v>69</v>
      </c>
      <c r="D18" s="175"/>
      <c r="E18" s="127"/>
      <c r="F18" s="127"/>
      <c r="G18" s="127"/>
      <c r="H18" s="127"/>
      <c r="I18" s="127"/>
      <c r="J18" s="328"/>
      <c r="K18" s="182" t="s">
        <v>73</v>
      </c>
      <c r="L18" s="127"/>
      <c r="M18" s="127"/>
      <c r="N18" s="127"/>
      <c r="O18" s="127"/>
      <c r="P18" s="127"/>
      <c r="Q18" s="127"/>
      <c r="R18" s="127"/>
      <c r="S18" s="127"/>
      <c r="T18" s="127"/>
      <c r="U18" s="127"/>
      <c r="V18" s="127"/>
      <c r="W18" s="127"/>
      <c r="X18" s="127"/>
      <c r="Y18" s="127"/>
      <c r="Z18" s="127"/>
      <c r="AA18" s="179"/>
      <c r="AB18" s="127"/>
      <c r="AC18" s="181">
        <f>'Current version'!AZ18</f>
        <v>40756</v>
      </c>
      <c r="AD18" s="434">
        <f t="shared" si="0"/>
        <v>200</v>
      </c>
      <c r="AE18" s="296">
        <v>0</v>
      </c>
      <c r="AF18">
        <v>20</v>
      </c>
      <c r="AG18" s="175">
        <v>50</v>
      </c>
      <c r="AH18" s="185">
        <v>130</v>
      </c>
      <c r="AI18" s="175">
        <v>200</v>
      </c>
      <c r="AJ18" s="127"/>
      <c r="AK18" s="177">
        <v>35</v>
      </c>
      <c r="AL18" s="181">
        <f t="shared" si="1"/>
        <v>40756</v>
      </c>
      <c r="AN18" s="127"/>
      <c r="AO18" s="127"/>
    </row>
    <row r="19" spans="2:41" ht="13" x14ac:dyDescent="0.3">
      <c r="B19" s="127"/>
      <c r="C19" s="180" t="s">
        <v>82</v>
      </c>
      <c r="D19" s="175"/>
      <c r="E19" s="127"/>
      <c r="F19" s="127"/>
      <c r="G19" s="127"/>
      <c r="H19" s="127"/>
      <c r="I19" s="127"/>
      <c r="J19" s="328"/>
      <c r="K19" s="127"/>
      <c r="L19" s="127"/>
      <c r="M19" s="127"/>
      <c r="N19" s="127"/>
      <c r="O19" s="127"/>
      <c r="P19" s="127"/>
      <c r="Q19" s="127"/>
      <c r="R19" s="127"/>
      <c r="S19" s="127"/>
      <c r="T19" s="127"/>
      <c r="U19" s="127"/>
      <c r="V19" s="127"/>
      <c r="W19" s="127"/>
      <c r="X19" s="127"/>
      <c r="Y19" s="127"/>
      <c r="Z19" s="127"/>
      <c r="AA19" s="179"/>
      <c r="AB19" s="127"/>
      <c r="AC19" s="181">
        <f>'Current version'!AZ19</f>
        <v>40770</v>
      </c>
      <c r="AD19" s="434">
        <f t="shared" si="0"/>
        <v>400</v>
      </c>
      <c r="AE19" s="296">
        <v>0</v>
      </c>
      <c r="AF19">
        <v>40</v>
      </c>
      <c r="AG19" s="175">
        <v>100</v>
      </c>
      <c r="AH19" s="185">
        <v>175</v>
      </c>
      <c r="AI19" s="175">
        <v>400</v>
      </c>
      <c r="AJ19" s="127"/>
      <c r="AK19" s="177">
        <v>35</v>
      </c>
      <c r="AL19" s="181">
        <f t="shared" si="1"/>
        <v>40770</v>
      </c>
      <c r="AN19" s="127"/>
      <c r="AO19" s="127"/>
    </row>
    <row r="20" spans="2:41" ht="13" customHeight="1" x14ac:dyDescent="0.3">
      <c r="C20" s="180" t="s">
        <v>75</v>
      </c>
      <c r="D20" s="175"/>
      <c r="E20" s="127"/>
      <c r="F20" s="157">
        <f>I17*35</f>
        <v>52500</v>
      </c>
      <c r="G20" s="127" t="s">
        <v>76</v>
      </c>
      <c r="H20" s="127"/>
      <c r="I20" s="127"/>
      <c r="J20" s="329">
        <f>F20/2000</f>
        <v>26.25</v>
      </c>
      <c r="K20" s="127" t="s">
        <v>77</v>
      </c>
      <c r="L20" s="127"/>
      <c r="M20" s="127"/>
      <c r="N20" s="127"/>
      <c r="O20" s="127"/>
      <c r="P20" s="127"/>
      <c r="Q20" s="127"/>
      <c r="R20" s="127"/>
      <c r="S20" s="127"/>
      <c r="T20" s="127"/>
      <c r="U20" s="127"/>
      <c r="V20" s="127"/>
      <c r="W20" s="127"/>
      <c r="X20" s="127"/>
      <c r="Y20" s="127"/>
      <c r="Z20" s="127"/>
      <c r="AA20" s="179"/>
      <c r="AB20" s="127"/>
      <c r="AC20" s="181">
        <f>'Current version'!AZ20</f>
        <v>40787</v>
      </c>
      <c r="AD20" s="434">
        <f t="shared" si="0"/>
        <v>500</v>
      </c>
      <c r="AE20" s="296">
        <v>0</v>
      </c>
      <c r="AF20">
        <v>50</v>
      </c>
      <c r="AG20" s="175">
        <v>125</v>
      </c>
      <c r="AH20" s="185">
        <v>210</v>
      </c>
      <c r="AI20" s="175">
        <v>500</v>
      </c>
      <c r="AJ20" s="127"/>
      <c r="AK20" s="177">
        <v>35</v>
      </c>
      <c r="AL20" s="181">
        <f t="shared" si="1"/>
        <v>40787</v>
      </c>
      <c r="AN20" s="127"/>
      <c r="AO20" s="127"/>
    </row>
    <row r="21" spans="2:41" ht="13" customHeight="1" x14ac:dyDescent="0.3">
      <c r="B21" s="531" t="s">
        <v>295</v>
      </c>
      <c r="C21" s="180" t="s">
        <v>233</v>
      </c>
      <c r="D21" s="175"/>
      <c r="E21" s="127"/>
      <c r="F21" s="186"/>
      <c r="G21" s="127"/>
      <c r="H21" s="127"/>
      <c r="I21" s="127"/>
      <c r="J21" s="330"/>
      <c r="K21" s="127"/>
      <c r="L21" s="127"/>
      <c r="M21" s="127"/>
      <c r="N21" s="127"/>
      <c r="O21" s="127"/>
      <c r="P21" s="127"/>
      <c r="Q21" s="127"/>
      <c r="R21" s="127"/>
      <c r="S21" s="127"/>
      <c r="T21" s="127"/>
      <c r="U21" s="127"/>
      <c r="V21" s="127"/>
      <c r="W21" s="127"/>
      <c r="X21" s="127"/>
      <c r="Y21" s="127"/>
      <c r="Z21" s="127"/>
      <c r="AA21" s="179"/>
      <c r="AB21" s="127"/>
      <c r="AC21" s="181">
        <f>'Current version'!AZ21</f>
        <v>40801</v>
      </c>
      <c r="AD21" s="434">
        <f t="shared" si="0"/>
        <v>400</v>
      </c>
      <c r="AE21" s="296">
        <v>0</v>
      </c>
      <c r="AF21">
        <v>55</v>
      </c>
      <c r="AG21" s="175">
        <v>100</v>
      </c>
      <c r="AH21" s="185">
        <v>180</v>
      </c>
      <c r="AI21" s="175">
        <v>400</v>
      </c>
      <c r="AJ21" s="127"/>
      <c r="AK21" s="177">
        <v>35</v>
      </c>
      <c r="AL21" s="181">
        <f t="shared" si="1"/>
        <v>40801</v>
      </c>
      <c r="AN21" s="127"/>
      <c r="AO21" s="127"/>
    </row>
    <row r="22" spans="2:41" ht="13" customHeight="1" x14ac:dyDescent="0.3">
      <c r="B22" s="531"/>
      <c r="C22" s="187" t="s">
        <v>81</v>
      </c>
      <c r="D22" s="175"/>
      <c r="E22" s="127"/>
      <c r="F22" s="186"/>
      <c r="G22" s="127"/>
      <c r="H22" s="127"/>
      <c r="I22" s="127"/>
      <c r="J22" s="330"/>
      <c r="K22" s="127"/>
      <c r="L22" s="127"/>
      <c r="M22" s="127"/>
      <c r="N22" s="127"/>
      <c r="O22" s="127"/>
      <c r="P22" s="127"/>
      <c r="Q22" s="127"/>
      <c r="R22" s="127"/>
      <c r="S22" s="127"/>
      <c r="T22" s="127"/>
      <c r="U22" s="127"/>
      <c r="V22" s="127"/>
      <c r="W22" s="127"/>
      <c r="X22" s="127"/>
      <c r="Y22" s="127"/>
      <c r="Z22" s="127"/>
      <c r="AA22" s="179"/>
      <c r="AB22" s="127"/>
      <c r="AC22" s="181">
        <f>'Current version'!AZ22</f>
        <v>40817</v>
      </c>
      <c r="AD22" s="434">
        <f t="shared" si="0"/>
        <v>200</v>
      </c>
      <c r="AE22" s="296">
        <v>0</v>
      </c>
      <c r="AF22">
        <v>40</v>
      </c>
      <c r="AG22" s="175">
        <v>50</v>
      </c>
      <c r="AH22" s="185">
        <v>130</v>
      </c>
      <c r="AI22" s="175">
        <v>200</v>
      </c>
      <c r="AJ22" s="127"/>
      <c r="AK22" s="177">
        <v>35</v>
      </c>
      <c r="AL22" s="181">
        <f t="shared" si="1"/>
        <v>40817</v>
      </c>
      <c r="AN22" s="127"/>
      <c r="AO22" s="127"/>
    </row>
    <row r="23" spans="2:41" ht="13" customHeight="1" x14ac:dyDescent="0.3">
      <c r="B23" s="531"/>
      <c r="C23" s="174" t="s">
        <v>78</v>
      </c>
      <c r="D23" s="175"/>
      <c r="E23" s="127"/>
      <c r="F23" s="186"/>
      <c r="G23" s="127"/>
      <c r="H23" s="127"/>
      <c r="I23" s="127"/>
      <c r="J23" s="328"/>
      <c r="K23" s="127"/>
      <c r="L23" s="127"/>
      <c r="M23" s="127"/>
      <c r="N23" s="127"/>
      <c r="O23" s="127"/>
      <c r="P23" s="127"/>
      <c r="Q23" s="127"/>
      <c r="R23" s="127"/>
      <c r="S23" s="127"/>
      <c r="T23" s="127"/>
      <c r="U23" s="127"/>
      <c r="V23" s="127"/>
      <c r="W23" s="127"/>
      <c r="X23" s="127"/>
      <c r="Y23" s="127"/>
      <c r="Z23" s="127"/>
      <c r="AA23" s="179"/>
      <c r="AB23" s="127"/>
      <c r="AC23" s="181">
        <f>'Current version'!AZ23</f>
        <v>40831</v>
      </c>
      <c r="AD23" s="434">
        <f t="shared" si="0"/>
        <v>100</v>
      </c>
      <c r="AE23" s="296">
        <v>0</v>
      </c>
      <c r="AF23">
        <v>20</v>
      </c>
      <c r="AG23" s="175">
        <v>25</v>
      </c>
      <c r="AH23" s="185">
        <v>75</v>
      </c>
      <c r="AI23" s="175">
        <v>100</v>
      </c>
      <c r="AJ23" s="127"/>
      <c r="AK23" s="177">
        <v>35</v>
      </c>
      <c r="AL23" s="181">
        <f t="shared" si="1"/>
        <v>40831</v>
      </c>
      <c r="AN23" s="127"/>
      <c r="AO23" s="127"/>
    </row>
    <row r="24" spans="2:41" ht="13" customHeight="1" x14ac:dyDescent="0.3">
      <c r="B24" s="531"/>
      <c r="C24" s="180" t="s">
        <v>79</v>
      </c>
      <c r="D24" s="175"/>
      <c r="E24" s="127"/>
      <c r="F24" s="186"/>
      <c r="G24" s="127"/>
      <c r="H24" s="127"/>
      <c r="I24" s="127"/>
      <c r="J24" s="328"/>
      <c r="K24" s="127"/>
      <c r="L24" s="127"/>
      <c r="M24" s="127"/>
      <c r="N24" s="127"/>
      <c r="O24" s="127"/>
      <c r="P24" s="127"/>
      <c r="Q24" s="127"/>
      <c r="R24" s="127"/>
      <c r="S24" s="127"/>
      <c r="T24" s="127"/>
      <c r="U24" s="127"/>
      <c r="V24" s="127"/>
      <c r="W24" s="127"/>
      <c r="X24" s="127"/>
      <c r="Y24" s="127"/>
      <c r="Z24" s="127"/>
      <c r="AA24" s="179"/>
      <c r="AB24" s="127"/>
      <c r="AC24" s="181">
        <f>'Current version'!AZ24</f>
        <v>40848</v>
      </c>
      <c r="AD24" s="434">
        <f t="shared" si="0"/>
        <v>30</v>
      </c>
      <c r="AE24" s="296">
        <v>0</v>
      </c>
      <c r="AF24">
        <v>5</v>
      </c>
      <c r="AG24" s="175">
        <v>5</v>
      </c>
      <c r="AH24" s="185">
        <v>14</v>
      </c>
      <c r="AI24" s="175">
        <v>30</v>
      </c>
      <c r="AJ24" s="127"/>
      <c r="AK24" s="177">
        <v>35</v>
      </c>
      <c r="AL24" s="181">
        <f t="shared" si="1"/>
        <v>40848</v>
      </c>
      <c r="AN24" s="127"/>
      <c r="AO24" s="127"/>
    </row>
    <row r="25" spans="2:41" ht="13" x14ac:dyDescent="0.3">
      <c r="B25" s="531"/>
      <c r="C25" s="305" t="s">
        <v>301</v>
      </c>
      <c r="D25" s="175"/>
      <c r="E25" s="127"/>
      <c r="F25" s="186"/>
      <c r="G25" s="127"/>
      <c r="H25" s="127"/>
      <c r="I25" s="127"/>
      <c r="J25" s="328"/>
      <c r="K25" s="127"/>
      <c r="L25" s="127"/>
      <c r="M25" s="188"/>
      <c r="N25" s="127" t="s">
        <v>208</v>
      </c>
      <c r="O25" s="127"/>
      <c r="Q25" s="127"/>
      <c r="R25" s="127"/>
      <c r="S25" s="127"/>
      <c r="T25" s="127"/>
      <c r="U25" s="127"/>
      <c r="V25" s="127"/>
      <c r="W25" s="127"/>
      <c r="X25" s="127"/>
      <c r="Y25" s="127"/>
      <c r="Z25" s="127"/>
      <c r="AA25" s="179"/>
      <c r="AB25" s="127"/>
      <c r="AC25" s="181">
        <f>'Current version'!AZ25</f>
        <v>40862</v>
      </c>
      <c r="AD25" s="434">
        <f t="shared" si="0"/>
        <v>0</v>
      </c>
      <c r="AE25" s="296"/>
      <c r="AG25" s="175"/>
      <c r="AH25" s="185"/>
      <c r="AI25" s="175"/>
      <c r="AJ25" s="127"/>
      <c r="AK25" s="349"/>
      <c r="AL25" s="181">
        <f t="shared" si="1"/>
        <v>40862</v>
      </c>
      <c r="AN25" s="127"/>
      <c r="AO25" s="127"/>
    </row>
    <row r="26" spans="2:41" ht="13" x14ac:dyDescent="0.3">
      <c r="B26" s="531"/>
      <c r="C26" s="180"/>
      <c r="D26" s="175"/>
      <c r="E26" s="127"/>
      <c r="F26" s="186"/>
      <c r="G26" s="127"/>
      <c r="H26" s="127"/>
      <c r="I26" s="127"/>
      <c r="J26" s="328"/>
      <c r="K26" s="127"/>
      <c r="L26" s="127"/>
      <c r="M26" s="188"/>
      <c r="N26" s="188"/>
      <c r="O26" s="127"/>
      <c r="P26" s="127"/>
      <c r="Q26" s="127"/>
      <c r="R26" s="127"/>
      <c r="S26" s="127"/>
      <c r="T26" s="127"/>
      <c r="U26" s="127"/>
      <c r="V26" s="127"/>
      <c r="W26" s="127"/>
      <c r="X26" s="127"/>
      <c r="Y26" s="127"/>
      <c r="Z26" s="127"/>
      <c r="AA26" s="179"/>
      <c r="AB26" s="189"/>
      <c r="AC26" s="181">
        <f>'Current version'!AZ26</f>
        <v>40878</v>
      </c>
      <c r="AD26" s="434">
        <f t="shared" si="0"/>
        <v>0</v>
      </c>
      <c r="AE26" s="296"/>
      <c r="AG26" s="175"/>
      <c r="AH26" s="185"/>
      <c r="AI26" s="175"/>
      <c r="AJ26" s="127"/>
      <c r="AK26" s="349"/>
      <c r="AL26" s="181">
        <f t="shared" si="1"/>
        <v>40878</v>
      </c>
      <c r="AN26" s="127"/>
      <c r="AO26" s="127"/>
    </row>
    <row r="27" spans="2:41" ht="13" x14ac:dyDescent="0.3">
      <c r="B27" s="532"/>
      <c r="C27" s="190"/>
      <c r="D27" s="327"/>
      <c r="E27" s="191"/>
      <c r="F27" s="191"/>
      <c r="G27" s="191"/>
      <c r="H27" s="191"/>
      <c r="I27" s="191"/>
      <c r="J27" s="338"/>
      <c r="K27" s="191"/>
      <c r="L27" s="191"/>
      <c r="M27" s="191"/>
      <c r="N27" s="191"/>
      <c r="O27" s="191"/>
      <c r="P27" s="191"/>
      <c r="Q27" s="191"/>
      <c r="R27" s="191"/>
      <c r="S27" s="191"/>
      <c r="T27" s="191"/>
      <c r="U27" s="191"/>
      <c r="V27" s="191"/>
      <c r="W27" s="191"/>
      <c r="X27" s="191"/>
      <c r="Y27" s="191"/>
      <c r="Z27" s="191"/>
      <c r="AA27" s="190"/>
      <c r="AB27" s="191"/>
      <c r="AC27" s="181">
        <f>'Current version'!AZ27</f>
        <v>40892</v>
      </c>
      <c r="AD27" s="434">
        <f t="shared" si="0"/>
        <v>0</v>
      </c>
      <c r="AE27" s="296"/>
      <c r="AG27" s="175"/>
      <c r="AH27" s="185"/>
      <c r="AI27" s="175"/>
      <c r="AJ27" s="127"/>
      <c r="AK27" s="349"/>
      <c r="AL27" s="181">
        <f t="shared" si="1"/>
        <v>40892</v>
      </c>
      <c r="AM27" s="127"/>
      <c r="AN27" s="127"/>
      <c r="AO27" s="127"/>
    </row>
    <row r="28" spans="2:41" ht="13" x14ac:dyDescent="0.3">
      <c r="B28" s="530" t="s">
        <v>316</v>
      </c>
      <c r="C28" s="530"/>
      <c r="D28" s="530"/>
      <c r="E28" s="530"/>
      <c r="F28" s="530"/>
      <c r="G28" s="530"/>
      <c r="H28" s="530"/>
      <c r="I28" s="530"/>
      <c r="J28" s="530"/>
      <c r="K28" s="530"/>
      <c r="L28" s="530"/>
      <c r="M28" s="530"/>
      <c r="N28" s="530"/>
      <c r="O28" s="530"/>
      <c r="P28" s="530"/>
      <c r="Q28" s="530"/>
      <c r="R28" s="530"/>
      <c r="S28" s="530"/>
      <c r="T28" s="530"/>
      <c r="U28" s="530"/>
      <c r="V28" s="530"/>
      <c r="W28" s="530"/>
      <c r="X28" s="530"/>
      <c r="Y28" s="530"/>
      <c r="Z28" s="530"/>
      <c r="AA28" s="530"/>
      <c r="AB28" s="530"/>
      <c r="AC28" s="209"/>
      <c r="AD28" s="326"/>
      <c r="AE28" s="326"/>
      <c r="AG28" s="326"/>
      <c r="AH28" s="185"/>
      <c r="AI28" s="326"/>
      <c r="AJ28" s="127"/>
      <c r="AK28" s="185"/>
      <c r="AL28" s="127"/>
      <c r="AM28" s="127"/>
      <c r="AN28" s="127"/>
      <c r="AO28" s="127"/>
    </row>
    <row r="29" spans="2:41" ht="13" x14ac:dyDescent="0.3">
      <c r="B29" s="339"/>
      <c r="C29" s="339"/>
      <c r="D29" s="340"/>
      <c r="E29" s="339"/>
      <c r="F29" s="339"/>
      <c r="G29" s="192"/>
      <c r="H29" s="341"/>
      <c r="I29" s="127"/>
      <c r="J29" s="328"/>
      <c r="K29" s="191"/>
      <c r="L29" s="127"/>
      <c r="M29" s="127"/>
      <c r="N29" s="127"/>
      <c r="O29" s="127"/>
      <c r="P29" s="191"/>
      <c r="Q29" s="191"/>
      <c r="R29" s="127"/>
      <c r="S29" s="127"/>
      <c r="T29" s="127"/>
      <c r="U29" s="127"/>
      <c r="V29" s="127"/>
      <c r="W29" s="127"/>
      <c r="X29" s="127"/>
      <c r="Y29" s="127"/>
      <c r="Z29" s="127"/>
      <c r="AA29" s="127"/>
      <c r="AB29" s="127"/>
      <c r="AC29" s="127"/>
      <c r="AD29" s="193" t="s">
        <v>293</v>
      </c>
      <c r="AE29" s="193"/>
      <c r="AF29" s="179">
        <f>SUM(AF4:AF27)</f>
        <v>250</v>
      </c>
      <c r="AG29" s="179">
        <f>SUM(AG4:AG27)</f>
        <v>500</v>
      </c>
      <c r="AH29" s="179">
        <v>1000</v>
      </c>
      <c r="AI29" s="179">
        <f>SUM(AI4:AI27)</f>
        <v>2000</v>
      </c>
      <c r="AJ29" s="127"/>
      <c r="AK29" s="179">
        <f>SUM(AK4:AK27)</f>
        <v>385</v>
      </c>
      <c r="AL29" s="127"/>
      <c r="AM29" s="127"/>
      <c r="AN29" s="127"/>
      <c r="AO29" s="127"/>
    </row>
    <row r="30" spans="2:41" ht="187.5" x14ac:dyDescent="0.55000000000000004">
      <c r="B30" s="299" t="s">
        <v>235</v>
      </c>
      <c r="C30" s="195" t="s">
        <v>45</v>
      </c>
      <c r="D30" s="195" t="s">
        <v>46</v>
      </c>
      <c r="E30" s="196" t="s">
        <v>38</v>
      </c>
      <c r="F30" s="197" t="s">
        <v>39</v>
      </c>
      <c r="G30" s="198" t="s">
        <v>84</v>
      </c>
      <c r="H30" s="199" t="s">
        <v>86</v>
      </c>
      <c r="I30" s="200" t="s">
        <v>85</v>
      </c>
      <c r="J30" s="331" t="s">
        <v>40</v>
      </c>
      <c r="K30" s="127"/>
      <c r="L30" s="199" t="s">
        <v>42</v>
      </c>
      <c r="M30" s="197" t="s">
        <v>43</v>
      </c>
      <c r="N30" s="201" t="s">
        <v>87</v>
      </c>
      <c r="O30" s="127"/>
      <c r="P30" s="127"/>
      <c r="Q30" s="202"/>
      <c r="R30" s="202"/>
      <c r="S30" s="202"/>
      <c r="T30" s="202"/>
      <c r="U30" s="127"/>
      <c r="V30" s="127"/>
      <c r="W30" s="127"/>
      <c r="X30" s="127"/>
      <c r="Y30" s="127"/>
      <c r="Z30" s="127"/>
      <c r="AA30" s="127"/>
      <c r="AB30" s="127"/>
      <c r="AC30" s="127"/>
      <c r="AD30" s="127"/>
      <c r="AE30" s="127"/>
      <c r="AF30" s="348"/>
      <c r="AG30" s="127"/>
      <c r="AH30" s="127"/>
      <c r="AI30" s="127"/>
      <c r="AJ30" s="127"/>
      <c r="AL30" s="127"/>
      <c r="AM30" s="127"/>
      <c r="AN30" s="127"/>
      <c r="AO30" s="127"/>
    </row>
    <row r="31" spans="2:41" ht="12.75" customHeight="1" x14ac:dyDescent="0.3">
      <c r="B31" s="528"/>
      <c r="C31" s="114">
        <v>1</v>
      </c>
      <c r="D31" s="114"/>
      <c r="E31" s="181">
        <v>40544</v>
      </c>
      <c r="F31" s="114">
        <v>0</v>
      </c>
      <c r="G31" s="203">
        <f t="shared" ref="G31:G54" si="2">M31/20</f>
        <v>0</v>
      </c>
      <c r="H31" s="114">
        <v>8</v>
      </c>
      <c r="I31" s="204"/>
      <c r="J31" s="332">
        <v>0</v>
      </c>
      <c r="K31" s="127"/>
      <c r="L31" s="204">
        <f>H31*$M$2</f>
        <v>16000</v>
      </c>
      <c r="M31" s="204">
        <f>F31*$M$3</f>
        <v>0</v>
      </c>
      <c r="N31" s="206">
        <f t="shared" ref="N31:N54" si="3">J31*100</f>
        <v>0</v>
      </c>
      <c r="O31" s="127"/>
      <c r="W31" s="127"/>
      <c r="X31" s="127"/>
      <c r="Y31" s="127"/>
      <c r="Z31" s="127"/>
      <c r="AA31" s="127"/>
      <c r="AB31" s="127"/>
      <c r="AC31" s="127"/>
      <c r="AD31" s="127"/>
      <c r="AE31" s="127"/>
      <c r="AF31" s="127"/>
      <c r="AG31" s="127"/>
      <c r="AH31" s="127"/>
      <c r="AI31" s="127"/>
      <c r="AJ31" s="127"/>
      <c r="AL31" s="127"/>
      <c r="AM31" s="127"/>
      <c r="AN31" s="127"/>
      <c r="AO31" s="127"/>
    </row>
    <row r="32" spans="2:41" ht="12.75" customHeight="1" x14ac:dyDescent="0.3">
      <c r="B32" s="528"/>
      <c r="C32" s="114">
        <v>1</v>
      </c>
      <c r="D32" s="114"/>
      <c r="E32" s="181">
        <v>40558</v>
      </c>
      <c r="F32" s="114">
        <v>0.25</v>
      </c>
      <c r="G32" s="203">
        <f t="shared" si="2"/>
        <v>56.25</v>
      </c>
      <c r="H32" s="114">
        <v>8</v>
      </c>
      <c r="I32" s="203">
        <f t="shared" ref="I32:I54" si="4">(L32-L31)/15</f>
        <v>0</v>
      </c>
      <c r="J32" s="332">
        <v>0</v>
      </c>
      <c r="K32" s="127"/>
      <c r="L32" s="350">
        <f t="shared" ref="L32:L55" si="5">H32*$M$2</f>
        <v>16000</v>
      </c>
      <c r="M32" s="204">
        <f t="shared" ref="M32:M54" si="6">F32*$M$3</f>
        <v>1125</v>
      </c>
      <c r="N32" s="206">
        <f t="shared" si="3"/>
        <v>0</v>
      </c>
      <c r="O32" s="127"/>
      <c r="W32" s="127"/>
      <c r="X32" s="127"/>
      <c r="Y32" s="127"/>
      <c r="Z32" s="127"/>
      <c r="AA32" s="127"/>
      <c r="AB32" s="127"/>
      <c r="AC32" s="127"/>
      <c r="AD32" s="127"/>
      <c r="AE32" s="127"/>
      <c r="AF32" s="127"/>
      <c r="AG32" s="127"/>
      <c r="AH32" s="127"/>
      <c r="AI32" s="127"/>
      <c r="AJ32" s="127"/>
      <c r="AL32" s="127"/>
      <c r="AM32" s="127"/>
      <c r="AN32" s="127"/>
      <c r="AO32" s="127"/>
    </row>
    <row r="33" spans="2:41" ht="12.75" customHeight="1" x14ac:dyDescent="0.3">
      <c r="B33" s="528"/>
      <c r="C33" s="114">
        <v>1</v>
      </c>
      <c r="D33" s="114"/>
      <c r="E33" s="181">
        <v>40575</v>
      </c>
      <c r="F33" s="114">
        <v>0.33</v>
      </c>
      <c r="G33" s="203">
        <f t="shared" si="2"/>
        <v>74.25</v>
      </c>
      <c r="H33" s="114">
        <v>8</v>
      </c>
      <c r="I33" s="203">
        <f t="shared" si="4"/>
        <v>0</v>
      </c>
      <c r="J33" s="332">
        <v>0</v>
      </c>
      <c r="K33" s="127"/>
      <c r="L33" s="350">
        <f t="shared" si="5"/>
        <v>16000</v>
      </c>
      <c r="M33" s="204">
        <f t="shared" si="6"/>
        <v>1485</v>
      </c>
      <c r="N33" s="206">
        <f t="shared" si="3"/>
        <v>0</v>
      </c>
      <c r="O33" s="127"/>
      <c r="W33" s="127"/>
      <c r="X33" s="127"/>
      <c r="Y33" s="127"/>
      <c r="Z33" s="127"/>
      <c r="AA33" s="127"/>
      <c r="AB33" s="127"/>
      <c r="AC33" s="127"/>
      <c r="AD33" s="127"/>
      <c r="AE33" s="127"/>
      <c r="AF33" s="127"/>
      <c r="AG33" s="127"/>
      <c r="AH33" s="127"/>
      <c r="AI33" s="127"/>
      <c r="AJ33" s="127"/>
      <c r="AL33" s="127"/>
      <c r="AM33" s="127"/>
      <c r="AN33" s="127"/>
      <c r="AO33" s="127"/>
    </row>
    <row r="34" spans="2:41" ht="12.75" customHeight="1" x14ac:dyDescent="0.3">
      <c r="B34" s="528"/>
      <c r="C34" s="114">
        <v>1</v>
      </c>
      <c r="D34" s="114"/>
      <c r="E34" s="181">
        <v>40589</v>
      </c>
      <c r="F34" s="114">
        <v>0.75</v>
      </c>
      <c r="G34" s="203">
        <f t="shared" si="2"/>
        <v>168.75</v>
      </c>
      <c r="H34" s="114">
        <v>7</v>
      </c>
      <c r="I34" s="203">
        <f t="shared" si="4"/>
        <v>-133.33333333333334</v>
      </c>
      <c r="J34" s="332">
        <v>0</v>
      </c>
      <c r="K34" s="127"/>
      <c r="L34" s="350">
        <f t="shared" si="5"/>
        <v>14000</v>
      </c>
      <c r="M34" s="204">
        <f t="shared" si="6"/>
        <v>3375</v>
      </c>
      <c r="N34" s="206">
        <f t="shared" si="3"/>
        <v>0</v>
      </c>
      <c r="O34" s="127"/>
      <c r="W34" s="127"/>
      <c r="X34" s="127"/>
      <c r="Y34" s="127"/>
      <c r="Z34" s="127"/>
      <c r="AA34" s="127"/>
      <c r="AB34" s="127"/>
      <c r="AC34" s="127"/>
      <c r="AD34" s="127"/>
      <c r="AE34" s="127"/>
      <c r="AF34" s="127"/>
      <c r="AG34" s="127"/>
      <c r="AH34" s="127"/>
      <c r="AI34" s="127"/>
      <c r="AJ34" s="127"/>
      <c r="AL34" s="127"/>
      <c r="AM34" s="127"/>
      <c r="AN34" s="127"/>
      <c r="AO34" s="127"/>
    </row>
    <row r="35" spans="2:41" ht="12.75" customHeight="1" x14ac:dyDescent="0.3">
      <c r="B35" s="528"/>
      <c r="C35" s="114">
        <v>1</v>
      </c>
      <c r="D35" s="114"/>
      <c r="E35" s="181">
        <v>40603</v>
      </c>
      <c r="F35" s="114">
        <v>1</v>
      </c>
      <c r="G35" s="203">
        <f t="shared" si="2"/>
        <v>225</v>
      </c>
      <c r="H35" s="114">
        <v>7</v>
      </c>
      <c r="I35" s="203">
        <f t="shared" si="4"/>
        <v>0</v>
      </c>
      <c r="J35" s="332">
        <v>0</v>
      </c>
      <c r="K35" s="127"/>
      <c r="L35" s="350">
        <f t="shared" si="5"/>
        <v>14000</v>
      </c>
      <c r="M35" s="204">
        <f t="shared" si="6"/>
        <v>4500</v>
      </c>
      <c r="N35" s="206">
        <f t="shared" si="3"/>
        <v>0</v>
      </c>
      <c r="O35" s="127"/>
      <c r="W35" s="127"/>
      <c r="X35" s="127"/>
      <c r="Y35" s="127"/>
      <c r="Z35" s="127"/>
      <c r="AA35" s="127"/>
      <c r="AB35" s="127"/>
      <c r="AC35" s="127"/>
      <c r="AD35" s="127"/>
      <c r="AE35" s="127"/>
      <c r="AF35" s="127"/>
      <c r="AG35" s="127"/>
      <c r="AH35" s="127"/>
      <c r="AI35" s="127"/>
      <c r="AJ35" s="127"/>
      <c r="AL35" s="127"/>
      <c r="AM35" s="127"/>
      <c r="AN35" s="127"/>
      <c r="AO35" s="127"/>
    </row>
    <row r="36" spans="2:41" ht="12.75" customHeight="1" x14ac:dyDescent="0.3">
      <c r="B36" s="528"/>
      <c r="C36" s="114">
        <v>1</v>
      </c>
      <c r="D36" s="114"/>
      <c r="E36" s="181">
        <v>40617</v>
      </c>
      <c r="F36" s="114">
        <v>2</v>
      </c>
      <c r="G36" s="203">
        <f t="shared" si="2"/>
        <v>450</v>
      </c>
      <c r="H36" s="114">
        <v>6</v>
      </c>
      <c r="I36" s="203">
        <f t="shared" si="4"/>
        <v>-133.33333333333334</v>
      </c>
      <c r="J36" s="332">
        <v>0</v>
      </c>
      <c r="K36" s="127"/>
      <c r="L36" s="350">
        <f t="shared" si="5"/>
        <v>12000</v>
      </c>
      <c r="M36" s="204">
        <f t="shared" si="6"/>
        <v>9000</v>
      </c>
      <c r="N36" s="206">
        <f t="shared" si="3"/>
        <v>0</v>
      </c>
      <c r="O36" s="127"/>
      <c r="W36" s="127"/>
      <c r="X36" s="127"/>
      <c r="Y36" s="127"/>
      <c r="Z36" s="127"/>
      <c r="AA36" s="127"/>
      <c r="AB36" s="127"/>
      <c r="AC36" s="127"/>
      <c r="AD36" s="127"/>
      <c r="AE36" s="127"/>
      <c r="AF36" s="127"/>
      <c r="AG36" s="127"/>
      <c r="AH36" s="127"/>
      <c r="AI36" s="127"/>
      <c r="AJ36" s="127"/>
      <c r="AL36" s="127"/>
      <c r="AM36" s="127"/>
      <c r="AN36" s="127"/>
      <c r="AO36" s="127"/>
    </row>
    <row r="37" spans="2:41" ht="12.75" customHeight="1" x14ac:dyDescent="0.3">
      <c r="B37" s="528"/>
      <c r="C37" s="114"/>
      <c r="D37" s="114">
        <v>1</v>
      </c>
      <c r="E37" s="181">
        <v>40634</v>
      </c>
      <c r="F37" s="114">
        <v>3</v>
      </c>
      <c r="G37" s="203">
        <f t="shared" si="2"/>
        <v>675</v>
      </c>
      <c r="H37" s="114">
        <v>6</v>
      </c>
      <c r="I37" s="203">
        <f t="shared" si="4"/>
        <v>0</v>
      </c>
      <c r="J37" s="332">
        <v>0.03</v>
      </c>
      <c r="K37" s="127"/>
      <c r="L37" s="350">
        <f t="shared" si="5"/>
        <v>12000</v>
      </c>
      <c r="M37" s="204">
        <f t="shared" si="6"/>
        <v>13500</v>
      </c>
      <c r="N37" s="206">
        <v>0</v>
      </c>
      <c r="O37" s="127"/>
      <c r="W37" s="127"/>
      <c r="X37" s="127"/>
      <c r="Y37" s="127"/>
      <c r="Z37" s="127"/>
      <c r="AA37" s="127"/>
      <c r="AB37" s="127"/>
      <c r="AC37" s="127"/>
      <c r="AD37" s="127"/>
      <c r="AE37" s="127"/>
      <c r="AF37" s="127"/>
      <c r="AG37" s="127"/>
      <c r="AH37" s="127"/>
      <c r="AI37" s="127"/>
      <c r="AJ37" s="127"/>
      <c r="AL37" s="127"/>
      <c r="AM37" s="127"/>
      <c r="AN37" s="127"/>
      <c r="AO37" s="127"/>
    </row>
    <row r="38" spans="2:41" ht="12.75" customHeight="1" x14ac:dyDescent="0.3">
      <c r="B38" s="528"/>
      <c r="C38" s="114"/>
      <c r="D38" s="114">
        <v>1</v>
      </c>
      <c r="E38" s="181">
        <v>40648</v>
      </c>
      <c r="F38" s="114">
        <v>5</v>
      </c>
      <c r="G38" s="203">
        <f t="shared" si="2"/>
        <v>1125</v>
      </c>
      <c r="H38" s="114">
        <v>8</v>
      </c>
      <c r="I38" s="203">
        <f t="shared" si="4"/>
        <v>266.66666666666669</v>
      </c>
      <c r="J38" s="332">
        <v>0.06</v>
      </c>
      <c r="K38" s="127"/>
      <c r="L38" s="350">
        <f t="shared" si="5"/>
        <v>16000</v>
      </c>
      <c r="M38" s="204">
        <f t="shared" si="6"/>
        <v>22500</v>
      </c>
      <c r="N38" s="206">
        <v>0</v>
      </c>
      <c r="O38" s="127"/>
      <c r="W38" s="127"/>
      <c r="X38" s="127"/>
      <c r="Y38" s="127"/>
      <c r="Z38" s="127"/>
      <c r="AA38" s="127"/>
      <c r="AB38" s="127"/>
      <c r="AC38" s="127"/>
      <c r="AD38" s="127"/>
      <c r="AE38" s="127"/>
      <c r="AF38" s="127"/>
      <c r="AG38" s="127"/>
      <c r="AH38" s="127"/>
      <c r="AI38" s="127"/>
      <c r="AJ38" s="127"/>
      <c r="AL38" s="127"/>
      <c r="AM38" s="127"/>
      <c r="AN38" s="127"/>
      <c r="AO38" s="127"/>
    </row>
    <row r="39" spans="2:41" ht="12.75" customHeight="1" x14ac:dyDescent="0.3">
      <c r="B39" s="528"/>
      <c r="C39" s="114"/>
      <c r="D39" s="114">
        <v>1</v>
      </c>
      <c r="E39" s="181">
        <v>40664</v>
      </c>
      <c r="F39" s="114">
        <v>6</v>
      </c>
      <c r="G39" s="203">
        <f t="shared" si="2"/>
        <v>1350</v>
      </c>
      <c r="H39" s="114">
        <v>11</v>
      </c>
      <c r="I39" s="203">
        <f t="shared" si="4"/>
        <v>400</v>
      </c>
      <c r="J39" s="332">
        <v>0.06</v>
      </c>
      <c r="K39" s="127"/>
      <c r="L39" s="350">
        <f t="shared" si="5"/>
        <v>22000</v>
      </c>
      <c r="M39" s="204">
        <f t="shared" si="6"/>
        <v>27000</v>
      </c>
      <c r="N39" s="206">
        <v>5</v>
      </c>
      <c r="O39" s="127"/>
      <c r="W39" s="127"/>
      <c r="X39" s="127"/>
      <c r="Y39" s="127"/>
      <c r="Z39" s="127"/>
      <c r="AA39" s="127"/>
      <c r="AB39" s="127"/>
      <c r="AC39" s="127"/>
      <c r="AD39" s="127"/>
      <c r="AE39" s="127"/>
      <c r="AF39" s="127"/>
      <c r="AG39" s="127"/>
      <c r="AH39" s="127"/>
      <c r="AI39" s="127"/>
      <c r="AJ39" s="127"/>
      <c r="AL39" s="127"/>
      <c r="AM39" s="127"/>
      <c r="AN39" s="127"/>
      <c r="AO39" s="127"/>
    </row>
    <row r="40" spans="2:41" ht="12.75" customHeight="1" x14ac:dyDescent="0.3">
      <c r="B40" s="528"/>
      <c r="C40" s="114"/>
      <c r="D40" s="114">
        <v>1</v>
      </c>
      <c r="E40" s="181">
        <v>40678</v>
      </c>
      <c r="F40" s="114">
        <v>6.5</v>
      </c>
      <c r="G40" s="203">
        <f t="shared" si="2"/>
        <v>1462.5</v>
      </c>
      <c r="H40" s="114">
        <v>15</v>
      </c>
      <c r="I40" s="203">
        <f t="shared" si="4"/>
        <v>533.33333333333337</v>
      </c>
      <c r="J40" s="332">
        <v>0.06</v>
      </c>
      <c r="K40" s="127"/>
      <c r="L40" s="350">
        <f t="shared" si="5"/>
        <v>30000</v>
      </c>
      <c r="M40" s="204">
        <f t="shared" si="6"/>
        <v>29250</v>
      </c>
      <c r="N40" s="206">
        <v>5</v>
      </c>
      <c r="O40" s="127"/>
      <c r="W40" s="127"/>
      <c r="X40" s="127"/>
      <c r="Y40" s="127"/>
      <c r="Z40" s="127"/>
      <c r="AA40" s="127"/>
      <c r="AB40" s="127"/>
      <c r="AC40" s="127"/>
      <c r="AD40" s="127"/>
      <c r="AE40" s="127"/>
      <c r="AF40" s="127"/>
      <c r="AG40" s="127"/>
      <c r="AH40" s="127"/>
      <c r="AI40" s="127"/>
      <c r="AJ40" s="127"/>
      <c r="AL40" s="127"/>
      <c r="AM40" s="127"/>
      <c r="AN40" s="127"/>
      <c r="AO40" s="127"/>
    </row>
    <row r="41" spans="2:41" ht="12.75" customHeight="1" x14ac:dyDescent="0.3">
      <c r="B41" s="528"/>
      <c r="C41" s="114"/>
      <c r="D41" s="114">
        <v>1</v>
      </c>
      <c r="E41" s="181">
        <v>40695</v>
      </c>
      <c r="F41" s="114">
        <v>7</v>
      </c>
      <c r="G41" s="203">
        <f t="shared" si="2"/>
        <v>1575</v>
      </c>
      <c r="H41" s="114">
        <v>19</v>
      </c>
      <c r="I41" s="203">
        <f t="shared" si="4"/>
        <v>533.33333333333337</v>
      </c>
      <c r="J41" s="332">
        <v>0.05</v>
      </c>
      <c r="K41" s="127"/>
      <c r="L41" s="350">
        <f t="shared" si="5"/>
        <v>38000</v>
      </c>
      <c r="M41" s="204">
        <f t="shared" si="6"/>
        <v>31500</v>
      </c>
      <c r="N41" s="206">
        <f t="shared" si="3"/>
        <v>5</v>
      </c>
      <c r="O41" s="127"/>
      <c r="W41" s="127"/>
      <c r="X41" s="127"/>
      <c r="Y41" s="127"/>
      <c r="Z41" s="127"/>
      <c r="AA41" s="127"/>
      <c r="AB41" s="127"/>
      <c r="AC41" s="127"/>
      <c r="AD41" s="127"/>
      <c r="AE41" s="127"/>
      <c r="AF41" s="127"/>
      <c r="AG41" s="127"/>
      <c r="AH41" s="127"/>
      <c r="AI41" s="127"/>
      <c r="AJ41" s="127"/>
      <c r="AL41" s="127"/>
      <c r="AM41" s="127"/>
      <c r="AN41" s="127"/>
      <c r="AO41" s="127"/>
    </row>
    <row r="42" spans="2:41" ht="12.75" customHeight="1" x14ac:dyDescent="0.3">
      <c r="B42" s="528"/>
      <c r="C42" s="114"/>
      <c r="D42" s="114">
        <v>1</v>
      </c>
      <c r="E42" s="181">
        <v>40709</v>
      </c>
      <c r="F42" s="114">
        <v>6.5</v>
      </c>
      <c r="G42" s="203">
        <f t="shared" si="2"/>
        <v>1462.5</v>
      </c>
      <c r="H42" s="114">
        <v>22</v>
      </c>
      <c r="I42" s="203">
        <f t="shared" si="4"/>
        <v>400</v>
      </c>
      <c r="J42" s="332">
        <v>0.05</v>
      </c>
      <c r="K42" s="127"/>
      <c r="L42" s="350">
        <f t="shared" si="5"/>
        <v>44000</v>
      </c>
      <c r="M42" s="204">
        <f t="shared" si="6"/>
        <v>29250</v>
      </c>
      <c r="N42" s="206">
        <f t="shared" si="3"/>
        <v>5</v>
      </c>
      <c r="O42" s="127"/>
      <c r="W42" s="127"/>
      <c r="X42" s="127"/>
      <c r="Y42" s="127"/>
      <c r="Z42" s="127"/>
      <c r="AA42" s="127"/>
      <c r="AB42" s="127"/>
      <c r="AC42" s="127"/>
      <c r="AD42" s="127"/>
      <c r="AE42" s="127"/>
      <c r="AF42" s="127"/>
      <c r="AG42" s="127"/>
      <c r="AH42" s="127"/>
      <c r="AI42" s="127"/>
      <c r="AJ42" s="127"/>
      <c r="AK42" s="127"/>
      <c r="AL42" s="127"/>
      <c r="AM42" s="127"/>
      <c r="AN42" s="127"/>
      <c r="AO42" s="127"/>
    </row>
    <row r="43" spans="2:41" ht="12.75" customHeight="1" x14ac:dyDescent="0.3">
      <c r="B43" s="528"/>
      <c r="C43" s="114"/>
      <c r="D43" s="114">
        <v>1</v>
      </c>
      <c r="E43" s="181">
        <v>40725</v>
      </c>
      <c r="F43" s="114">
        <v>6</v>
      </c>
      <c r="G43" s="203">
        <f t="shared" si="2"/>
        <v>1350</v>
      </c>
      <c r="H43" s="114">
        <v>24</v>
      </c>
      <c r="I43" s="203">
        <f t="shared" si="4"/>
        <v>266.66666666666669</v>
      </c>
      <c r="J43" s="332">
        <v>0.05</v>
      </c>
      <c r="K43" s="127"/>
      <c r="L43" s="350">
        <f t="shared" si="5"/>
        <v>48000</v>
      </c>
      <c r="M43" s="204">
        <f t="shared" si="6"/>
        <v>27000</v>
      </c>
      <c r="N43" s="206">
        <f t="shared" si="3"/>
        <v>5</v>
      </c>
      <c r="O43" s="127"/>
      <c r="W43" s="127"/>
      <c r="X43" s="127"/>
      <c r="Y43" s="127"/>
      <c r="Z43" s="127"/>
      <c r="AA43" s="127"/>
      <c r="AB43" s="127"/>
      <c r="AC43" s="127"/>
      <c r="AD43" s="127"/>
      <c r="AE43" s="127"/>
      <c r="AF43" s="127"/>
      <c r="AG43" s="127"/>
      <c r="AH43" s="127"/>
      <c r="AI43" s="127"/>
      <c r="AJ43" s="127"/>
      <c r="AK43" s="127"/>
      <c r="AL43" s="127"/>
      <c r="AM43" s="127"/>
      <c r="AN43" s="127"/>
      <c r="AO43" s="127"/>
    </row>
    <row r="44" spans="2:41" ht="12.75" customHeight="1" x14ac:dyDescent="0.3">
      <c r="B44" s="528"/>
      <c r="C44" s="114"/>
      <c r="D44" s="114">
        <v>1</v>
      </c>
      <c r="E44" s="181">
        <v>40739</v>
      </c>
      <c r="F44" s="114">
        <v>5</v>
      </c>
      <c r="G44" s="203">
        <f t="shared" si="2"/>
        <v>1125</v>
      </c>
      <c r="H44" s="114">
        <v>25</v>
      </c>
      <c r="I44" s="203">
        <f t="shared" si="4"/>
        <v>133.33333333333334</v>
      </c>
      <c r="J44" s="332">
        <v>0.05</v>
      </c>
      <c r="K44" s="127"/>
      <c r="L44" s="350">
        <f t="shared" si="5"/>
        <v>50000</v>
      </c>
      <c r="M44" s="204">
        <f t="shared" si="6"/>
        <v>22500</v>
      </c>
      <c r="N44" s="206">
        <f t="shared" si="3"/>
        <v>5</v>
      </c>
      <c r="O44" s="127"/>
      <c r="W44" s="127"/>
      <c r="X44" s="127"/>
      <c r="Y44" s="127"/>
      <c r="Z44" s="127"/>
      <c r="AA44" s="127"/>
      <c r="AB44" s="127"/>
      <c r="AC44" s="127"/>
      <c r="AD44" s="127"/>
      <c r="AE44" s="127"/>
      <c r="AF44" s="127"/>
      <c r="AG44" s="127"/>
      <c r="AH44" s="127"/>
      <c r="AI44" s="127"/>
      <c r="AJ44" s="127"/>
      <c r="AK44" s="127"/>
      <c r="AL44" s="127"/>
      <c r="AM44" s="127"/>
      <c r="AN44" s="127"/>
      <c r="AO44" s="127"/>
    </row>
    <row r="45" spans="2:41" ht="12.75" customHeight="1" x14ac:dyDescent="0.3">
      <c r="B45" s="528"/>
      <c r="C45" s="114"/>
      <c r="D45" s="114">
        <v>1</v>
      </c>
      <c r="E45" s="181">
        <v>40756</v>
      </c>
      <c r="F45" s="114">
        <v>4.5</v>
      </c>
      <c r="G45" s="203">
        <f t="shared" si="2"/>
        <v>1012.5</v>
      </c>
      <c r="H45" s="114">
        <v>25</v>
      </c>
      <c r="I45" s="203">
        <f t="shared" si="4"/>
        <v>0</v>
      </c>
      <c r="J45" s="332">
        <v>0.05</v>
      </c>
      <c r="K45" s="127"/>
      <c r="L45" s="350">
        <f t="shared" si="5"/>
        <v>50000</v>
      </c>
      <c r="M45" s="204">
        <f t="shared" si="6"/>
        <v>20250</v>
      </c>
      <c r="N45" s="206">
        <f t="shared" si="3"/>
        <v>5</v>
      </c>
      <c r="O45" s="127"/>
      <c r="W45" s="127"/>
      <c r="X45" s="127"/>
      <c r="Y45" s="127"/>
      <c r="Z45" s="127"/>
      <c r="AA45" s="127"/>
      <c r="AB45" s="127"/>
      <c r="AC45" s="127"/>
      <c r="AD45" s="127"/>
      <c r="AE45" s="127"/>
      <c r="AF45" s="127"/>
      <c r="AG45" s="127"/>
      <c r="AH45" s="127"/>
      <c r="AI45" s="127"/>
      <c r="AJ45" s="127"/>
      <c r="AK45" s="127"/>
      <c r="AL45" s="127"/>
      <c r="AM45" s="127"/>
      <c r="AN45" s="127"/>
      <c r="AO45" s="127"/>
    </row>
    <row r="46" spans="2:41" ht="12.75" customHeight="1" x14ac:dyDescent="0.3">
      <c r="B46" s="528"/>
      <c r="C46" s="114"/>
      <c r="D46" s="114">
        <v>1</v>
      </c>
      <c r="E46" s="181">
        <v>40770</v>
      </c>
      <c r="F46" s="114">
        <v>4</v>
      </c>
      <c r="G46" s="203">
        <f t="shared" si="2"/>
        <v>900</v>
      </c>
      <c r="H46" s="114">
        <v>22</v>
      </c>
      <c r="I46" s="203">
        <f t="shared" si="4"/>
        <v>-400</v>
      </c>
      <c r="J46" s="332">
        <v>0.05</v>
      </c>
      <c r="K46" s="127"/>
      <c r="L46" s="350">
        <f t="shared" si="5"/>
        <v>44000</v>
      </c>
      <c r="M46" s="204">
        <f t="shared" si="6"/>
        <v>18000</v>
      </c>
      <c r="N46" s="206">
        <f t="shared" si="3"/>
        <v>5</v>
      </c>
      <c r="O46" s="127"/>
      <c r="W46" s="127"/>
      <c r="X46" s="127"/>
      <c r="Y46" s="127"/>
      <c r="Z46" s="127"/>
      <c r="AA46" s="127"/>
      <c r="AB46" s="127"/>
      <c r="AC46" s="127"/>
      <c r="AD46" s="127"/>
      <c r="AE46" s="127"/>
      <c r="AF46" s="127"/>
      <c r="AG46" s="127"/>
      <c r="AH46" s="127"/>
      <c r="AI46" s="127"/>
      <c r="AJ46" s="127"/>
      <c r="AK46" s="127"/>
      <c r="AL46" s="127"/>
      <c r="AM46" s="127"/>
      <c r="AN46" s="127"/>
      <c r="AO46" s="127"/>
    </row>
    <row r="47" spans="2:41" ht="12.75" customHeight="1" x14ac:dyDescent="0.3">
      <c r="B47" s="528"/>
      <c r="C47" s="114"/>
      <c r="D47" s="114"/>
      <c r="E47" s="181">
        <v>40787</v>
      </c>
      <c r="F47" s="114">
        <v>3.5</v>
      </c>
      <c r="G47" s="203">
        <f t="shared" si="2"/>
        <v>787.5</v>
      </c>
      <c r="H47" s="114">
        <v>19</v>
      </c>
      <c r="I47" s="203">
        <f t="shared" si="4"/>
        <v>-400</v>
      </c>
      <c r="J47" s="332">
        <v>0.02</v>
      </c>
      <c r="K47" s="127"/>
      <c r="L47" s="350">
        <f t="shared" si="5"/>
        <v>38000</v>
      </c>
      <c r="M47" s="204">
        <f t="shared" si="6"/>
        <v>15750</v>
      </c>
      <c r="N47" s="206">
        <f t="shared" si="3"/>
        <v>2</v>
      </c>
      <c r="O47" s="127"/>
      <c r="W47" s="127"/>
      <c r="X47" s="127"/>
      <c r="Y47" s="127"/>
      <c r="Z47" s="127"/>
      <c r="AA47" s="127"/>
      <c r="AB47" s="127"/>
      <c r="AC47" s="127"/>
      <c r="AD47" s="127"/>
      <c r="AE47" s="127"/>
      <c r="AF47" s="127"/>
      <c r="AG47" s="127"/>
      <c r="AH47" s="127"/>
      <c r="AI47" s="127"/>
      <c r="AJ47" s="127"/>
      <c r="AK47" s="127"/>
      <c r="AL47" s="127"/>
      <c r="AM47" s="127"/>
      <c r="AN47" s="127"/>
      <c r="AO47" s="127"/>
    </row>
    <row r="48" spans="2:41" ht="12.75" customHeight="1" x14ac:dyDescent="0.3">
      <c r="B48" s="528"/>
      <c r="C48" s="114"/>
      <c r="D48" s="114"/>
      <c r="E48" s="181">
        <v>40801</v>
      </c>
      <c r="F48" s="114">
        <v>4</v>
      </c>
      <c r="G48" s="203">
        <f t="shared" si="2"/>
        <v>900</v>
      </c>
      <c r="H48" s="114">
        <v>16</v>
      </c>
      <c r="I48" s="203">
        <f t="shared" si="4"/>
        <v>-400</v>
      </c>
      <c r="J48" s="332">
        <v>0.02</v>
      </c>
      <c r="K48" s="127"/>
      <c r="L48" s="350">
        <f t="shared" si="5"/>
        <v>32000</v>
      </c>
      <c r="M48" s="204">
        <f t="shared" si="6"/>
        <v>18000</v>
      </c>
      <c r="N48" s="206">
        <f t="shared" si="3"/>
        <v>2</v>
      </c>
      <c r="O48" s="127"/>
      <c r="W48" s="127"/>
      <c r="X48" s="127"/>
      <c r="Y48" s="127"/>
      <c r="Z48" s="127"/>
      <c r="AA48" s="127"/>
      <c r="AB48" s="127"/>
      <c r="AC48" s="127"/>
      <c r="AD48" s="127"/>
      <c r="AE48" s="127"/>
      <c r="AF48" s="127"/>
      <c r="AG48" s="127"/>
      <c r="AH48" s="127"/>
      <c r="AI48" s="127"/>
      <c r="AJ48" s="127"/>
      <c r="AK48" s="127"/>
      <c r="AL48" s="127"/>
      <c r="AM48" s="127"/>
      <c r="AN48" s="127"/>
      <c r="AO48" s="127"/>
    </row>
    <row r="49" spans="2:41" ht="12.75" customHeight="1" x14ac:dyDescent="0.3">
      <c r="B49" s="528"/>
      <c r="C49" s="114">
        <v>1</v>
      </c>
      <c r="D49" s="114"/>
      <c r="E49" s="181">
        <v>40817</v>
      </c>
      <c r="F49" s="114">
        <v>2</v>
      </c>
      <c r="G49" s="203">
        <f t="shared" si="2"/>
        <v>450</v>
      </c>
      <c r="H49" s="114">
        <v>15</v>
      </c>
      <c r="I49" s="203">
        <f t="shared" si="4"/>
        <v>-133.33333333333334</v>
      </c>
      <c r="J49" s="332">
        <v>0</v>
      </c>
      <c r="K49" s="127"/>
      <c r="L49" s="350">
        <f t="shared" si="5"/>
        <v>30000</v>
      </c>
      <c r="M49" s="204">
        <f t="shared" si="6"/>
        <v>9000</v>
      </c>
      <c r="N49" s="206">
        <f t="shared" si="3"/>
        <v>0</v>
      </c>
      <c r="O49" s="127"/>
      <c r="W49" s="127"/>
      <c r="X49" s="127"/>
      <c r="Y49" s="127"/>
      <c r="Z49" s="127"/>
      <c r="AA49" s="127"/>
      <c r="AB49" s="127"/>
      <c r="AC49" s="127"/>
      <c r="AD49" s="127"/>
      <c r="AE49" s="127"/>
      <c r="AF49" s="127"/>
      <c r="AG49" s="127"/>
      <c r="AH49" s="127"/>
      <c r="AI49" s="127"/>
      <c r="AJ49" s="127"/>
      <c r="AK49" s="127"/>
      <c r="AL49" s="127"/>
      <c r="AM49" s="127"/>
      <c r="AN49" s="127"/>
      <c r="AO49" s="127"/>
    </row>
    <row r="50" spans="2:41" ht="12.75" customHeight="1" x14ac:dyDescent="0.3">
      <c r="B50" s="528"/>
      <c r="C50" s="114">
        <v>1</v>
      </c>
      <c r="D50" s="114"/>
      <c r="E50" s="181">
        <v>40831</v>
      </c>
      <c r="F50" s="114">
        <v>0.5</v>
      </c>
      <c r="G50" s="203">
        <f t="shared" si="2"/>
        <v>112.5</v>
      </c>
      <c r="H50" s="114">
        <v>12</v>
      </c>
      <c r="I50" s="203">
        <f t="shared" si="4"/>
        <v>-400</v>
      </c>
      <c r="J50" s="332">
        <v>0</v>
      </c>
      <c r="K50" s="127"/>
      <c r="L50" s="350">
        <f t="shared" si="5"/>
        <v>24000</v>
      </c>
      <c r="M50" s="204">
        <f t="shared" si="6"/>
        <v>2250</v>
      </c>
      <c r="N50" s="206">
        <f t="shared" si="3"/>
        <v>0</v>
      </c>
      <c r="O50" s="127"/>
      <c r="W50" s="127"/>
      <c r="X50" s="127"/>
      <c r="Y50" s="127"/>
      <c r="Z50" s="127"/>
      <c r="AA50" s="127"/>
      <c r="AB50" s="127"/>
      <c r="AC50" s="127"/>
      <c r="AD50" s="127"/>
      <c r="AE50" s="127"/>
      <c r="AF50" s="127"/>
      <c r="AG50" s="127"/>
      <c r="AH50" s="127"/>
      <c r="AI50" s="127"/>
      <c r="AJ50" s="127"/>
      <c r="AK50" s="127"/>
      <c r="AL50" s="127"/>
      <c r="AM50" s="127"/>
      <c r="AN50" s="127"/>
      <c r="AO50" s="127"/>
    </row>
    <row r="51" spans="2:41" ht="12.75" customHeight="1" x14ac:dyDescent="0.3">
      <c r="B51" s="528"/>
      <c r="C51" s="114">
        <v>1</v>
      </c>
      <c r="D51" s="114"/>
      <c r="E51" s="181">
        <v>40848</v>
      </c>
      <c r="F51" s="114">
        <v>0</v>
      </c>
      <c r="G51" s="203">
        <f t="shared" si="2"/>
        <v>0</v>
      </c>
      <c r="H51" s="114">
        <v>9</v>
      </c>
      <c r="I51" s="203">
        <f t="shared" si="4"/>
        <v>-400</v>
      </c>
      <c r="J51" s="332">
        <v>0</v>
      </c>
      <c r="K51" s="127"/>
      <c r="L51" s="350">
        <f t="shared" si="5"/>
        <v>18000</v>
      </c>
      <c r="M51" s="204">
        <f t="shared" si="6"/>
        <v>0</v>
      </c>
      <c r="N51" s="206">
        <f t="shared" si="3"/>
        <v>0</v>
      </c>
      <c r="O51" s="127"/>
      <c r="W51" s="127"/>
      <c r="X51" s="127"/>
      <c r="Y51" s="127"/>
      <c r="Z51" s="127"/>
      <c r="AA51" s="127"/>
      <c r="AB51" s="127"/>
      <c r="AC51" s="127"/>
      <c r="AD51" s="127"/>
      <c r="AE51" s="127"/>
      <c r="AF51" s="127"/>
      <c r="AG51" s="127"/>
      <c r="AH51" s="127"/>
      <c r="AI51" s="127"/>
      <c r="AJ51" s="127"/>
      <c r="AK51" s="127"/>
      <c r="AL51" s="127"/>
      <c r="AM51" s="127"/>
      <c r="AN51" s="127"/>
      <c r="AO51" s="127"/>
    </row>
    <row r="52" spans="2:41" ht="12.75" customHeight="1" x14ac:dyDescent="0.3">
      <c r="B52" s="528"/>
      <c r="C52" s="114">
        <v>1</v>
      </c>
      <c r="D52" s="114"/>
      <c r="E52" s="181">
        <v>40862</v>
      </c>
      <c r="F52" s="114">
        <v>0</v>
      </c>
      <c r="G52" s="203">
        <f t="shared" si="2"/>
        <v>0</v>
      </c>
      <c r="H52" s="114">
        <v>8.5</v>
      </c>
      <c r="I52" s="203">
        <f t="shared" si="4"/>
        <v>-66.666666666666671</v>
      </c>
      <c r="J52" s="332">
        <v>0</v>
      </c>
      <c r="K52" s="127"/>
      <c r="L52" s="350">
        <f t="shared" si="5"/>
        <v>17000</v>
      </c>
      <c r="M52" s="204">
        <f t="shared" si="6"/>
        <v>0</v>
      </c>
      <c r="N52" s="206">
        <f t="shared" si="3"/>
        <v>0</v>
      </c>
      <c r="O52" s="127"/>
      <c r="W52" s="127"/>
      <c r="X52" s="127"/>
      <c r="Y52" s="127"/>
      <c r="Z52" s="127"/>
      <c r="AA52" s="127"/>
      <c r="AB52" s="127"/>
      <c r="AC52" s="127"/>
      <c r="AD52" s="127"/>
      <c r="AE52" s="127"/>
      <c r="AF52" s="127"/>
      <c r="AG52" s="127"/>
      <c r="AH52" s="127"/>
      <c r="AI52" s="127"/>
      <c r="AJ52" s="127"/>
      <c r="AK52" s="127"/>
      <c r="AL52" s="127"/>
      <c r="AM52" s="127"/>
      <c r="AN52" s="127"/>
      <c r="AO52" s="127"/>
    </row>
    <row r="53" spans="2:41" ht="12.75" customHeight="1" x14ac:dyDescent="0.3">
      <c r="B53" s="528"/>
      <c r="C53" s="114">
        <v>1</v>
      </c>
      <c r="D53" s="114"/>
      <c r="E53" s="181">
        <v>40878</v>
      </c>
      <c r="F53" s="114">
        <v>0</v>
      </c>
      <c r="G53" s="203">
        <f t="shared" si="2"/>
        <v>0</v>
      </c>
      <c r="H53" s="114">
        <v>8.25</v>
      </c>
      <c r="I53" s="203">
        <f t="shared" si="4"/>
        <v>-33.333333333333336</v>
      </c>
      <c r="J53" s="332">
        <v>0</v>
      </c>
      <c r="K53" s="127"/>
      <c r="L53" s="350">
        <f t="shared" si="5"/>
        <v>16500</v>
      </c>
      <c r="M53" s="204">
        <f t="shared" si="6"/>
        <v>0</v>
      </c>
      <c r="N53" s="206">
        <f t="shared" si="3"/>
        <v>0</v>
      </c>
      <c r="O53" s="127"/>
      <c r="W53" s="127"/>
      <c r="X53" s="127"/>
      <c r="Y53" s="127"/>
      <c r="Z53" s="127"/>
      <c r="AA53" s="127"/>
      <c r="AB53" s="127"/>
      <c r="AC53" s="127"/>
      <c r="AD53" s="127"/>
      <c r="AE53" s="127"/>
      <c r="AF53" s="127"/>
      <c r="AG53" s="127"/>
      <c r="AH53" s="127"/>
      <c r="AI53" s="127"/>
      <c r="AJ53" s="127"/>
      <c r="AK53" s="127"/>
      <c r="AL53" s="127"/>
      <c r="AM53" s="127"/>
      <c r="AN53" s="127"/>
      <c r="AO53" s="127"/>
    </row>
    <row r="54" spans="2:41" ht="12.75" customHeight="1" x14ac:dyDescent="0.3">
      <c r="B54" s="529"/>
      <c r="C54" s="114">
        <v>1</v>
      </c>
      <c r="D54" s="114"/>
      <c r="E54" s="308">
        <v>40892</v>
      </c>
      <c r="F54" s="309">
        <v>0</v>
      </c>
      <c r="G54" s="310">
        <f t="shared" si="2"/>
        <v>0</v>
      </c>
      <c r="H54" s="309">
        <v>8</v>
      </c>
      <c r="I54" s="311">
        <f t="shared" si="4"/>
        <v>-33.333333333333336</v>
      </c>
      <c r="J54" s="333">
        <v>0</v>
      </c>
      <c r="K54" s="127"/>
      <c r="L54" s="350">
        <f t="shared" si="5"/>
        <v>16000</v>
      </c>
      <c r="M54" s="312">
        <f t="shared" si="6"/>
        <v>0</v>
      </c>
      <c r="N54" s="313">
        <f t="shared" si="3"/>
        <v>0</v>
      </c>
      <c r="O54" s="127"/>
      <c r="W54" s="127"/>
      <c r="X54" s="127"/>
      <c r="Y54" s="127"/>
      <c r="Z54" s="127"/>
      <c r="AA54" s="127"/>
      <c r="AB54" s="127"/>
      <c r="AC54" s="127"/>
      <c r="AD54" s="127"/>
      <c r="AE54" s="127"/>
      <c r="AF54" s="127"/>
      <c r="AG54" s="127"/>
      <c r="AH54" s="127"/>
      <c r="AI54" s="127"/>
      <c r="AJ54" s="127"/>
      <c r="AK54" s="127"/>
      <c r="AL54" s="127"/>
      <c r="AM54" s="127"/>
      <c r="AN54" s="127"/>
      <c r="AO54" s="127"/>
    </row>
    <row r="55" spans="2:41" x14ac:dyDescent="0.25">
      <c r="B55" s="127"/>
      <c r="E55" s="314">
        <v>43100</v>
      </c>
      <c r="F55" s="300">
        <f>F31</f>
        <v>0</v>
      </c>
      <c r="G55" s="300">
        <f t="shared" ref="G55:N55" si="7">G31</f>
        <v>0</v>
      </c>
      <c r="H55" s="300">
        <v>8</v>
      </c>
      <c r="I55" s="300">
        <f t="shared" si="7"/>
        <v>0</v>
      </c>
      <c r="J55" s="334">
        <f t="shared" si="7"/>
        <v>0</v>
      </c>
      <c r="K55" s="300"/>
      <c r="L55" s="350">
        <f t="shared" si="5"/>
        <v>16000</v>
      </c>
      <c r="M55" s="300">
        <f t="shared" si="7"/>
        <v>0</v>
      </c>
      <c r="N55" s="315">
        <f t="shared" si="7"/>
        <v>0</v>
      </c>
      <c r="O55" s="127"/>
      <c r="W55" s="127"/>
      <c r="X55" s="127"/>
      <c r="Y55" s="127"/>
      <c r="Z55" s="127"/>
      <c r="AA55" s="127"/>
      <c r="AB55" s="127"/>
      <c r="AC55" s="127"/>
      <c r="AD55" s="127"/>
      <c r="AE55" s="127"/>
      <c r="AF55" s="127"/>
      <c r="AG55" s="127"/>
      <c r="AH55" s="127"/>
      <c r="AI55" s="127"/>
      <c r="AJ55" s="127"/>
      <c r="AK55" s="127"/>
      <c r="AL55" s="127"/>
      <c r="AM55" s="127"/>
      <c r="AN55" s="127"/>
      <c r="AO55" s="127"/>
    </row>
    <row r="56" spans="2:41" x14ac:dyDescent="0.25">
      <c r="B56" s="127"/>
      <c r="E56" s="127"/>
      <c r="G56" s="390">
        <f>SUM(G31:G55)*15.2</f>
        <v>231978.59999999998</v>
      </c>
      <c r="H56" s="150" t="s">
        <v>339</v>
      </c>
      <c r="I56" s="127"/>
      <c r="K56" s="127"/>
      <c r="L56" s="127"/>
      <c r="M56" s="127"/>
      <c r="N56" s="127"/>
      <c r="O56" s="127"/>
      <c r="W56" s="127"/>
      <c r="X56" s="127"/>
      <c r="Y56" s="127"/>
      <c r="Z56" s="127"/>
      <c r="AA56" s="127"/>
      <c r="AB56" s="127"/>
      <c r="AC56" s="175"/>
      <c r="AD56" s="175"/>
      <c r="AE56" s="296"/>
      <c r="AF56" s="175"/>
      <c r="AG56" s="175"/>
      <c r="AH56" s="127"/>
      <c r="AI56" s="127"/>
      <c r="AJ56" s="127"/>
      <c r="AK56" s="127"/>
      <c r="AL56" s="127"/>
      <c r="AM56" s="127"/>
      <c r="AN56" s="127"/>
      <c r="AO56" s="127"/>
    </row>
    <row r="57" spans="2:41" x14ac:dyDescent="0.25">
      <c r="B57" s="127"/>
      <c r="E57" s="127"/>
      <c r="G57" s="127"/>
      <c r="I57" s="127"/>
      <c r="K57" s="127"/>
      <c r="L57" s="127"/>
      <c r="M57" s="127"/>
      <c r="N57" s="127"/>
      <c r="O57" s="127"/>
      <c r="W57" s="127"/>
      <c r="X57" s="127"/>
      <c r="Y57" s="127"/>
      <c r="Z57" s="127"/>
      <c r="AA57" s="127"/>
      <c r="AB57" s="127"/>
      <c r="AC57" s="127"/>
      <c r="AD57" s="127"/>
      <c r="AE57" s="127"/>
      <c r="AF57" s="127"/>
      <c r="AG57" s="127"/>
      <c r="AH57" s="127"/>
      <c r="AI57" s="127"/>
      <c r="AJ57" s="127"/>
      <c r="AK57" s="127"/>
      <c r="AL57" s="127"/>
      <c r="AM57" s="127"/>
      <c r="AN57" s="127"/>
      <c r="AO57" s="127"/>
    </row>
    <row r="58" spans="2:41" ht="187.5" x14ac:dyDescent="0.25">
      <c r="B58" s="194" t="s">
        <v>307</v>
      </c>
      <c r="C58" s="151" t="s">
        <v>45</v>
      </c>
      <c r="D58" s="151" t="s">
        <v>46</v>
      </c>
      <c r="E58" s="196" t="s">
        <v>38</v>
      </c>
      <c r="F58" s="154" t="s">
        <v>39</v>
      </c>
      <c r="G58" s="198" t="s">
        <v>84</v>
      </c>
      <c r="H58" s="155" t="s">
        <v>86</v>
      </c>
      <c r="I58" s="200" t="s">
        <v>85</v>
      </c>
      <c r="J58" s="336" t="s">
        <v>40</v>
      </c>
      <c r="K58" s="127"/>
      <c r="L58" s="199" t="s">
        <v>42</v>
      </c>
      <c r="M58" s="197" t="s">
        <v>43</v>
      </c>
      <c r="N58" s="201" t="s">
        <v>87</v>
      </c>
      <c r="O58" s="127"/>
      <c r="W58" s="127"/>
      <c r="X58" s="127"/>
      <c r="Y58" s="127"/>
      <c r="Z58" s="127"/>
      <c r="AA58" s="127"/>
      <c r="AB58" s="127"/>
      <c r="AC58" s="127"/>
      <c r="AD58" s="127"/>
      <c r="AE58" s="127"/>
      <c r="AF58" s="127"/>
      <c r="AG58" s="127"/>
      <c r="AH58" s="127"/>
      <c r="AI58" s="127"/>
      <c r="AJ58" s="127"/>
      <c r="AK58" s="127"/>
      <c r="AL58" s="127"/>
      <c r="AM58" s="127"/>
      <c r="AN58" s="127"/>
      <c r="AO58" s="127"/>
    </row>
    <row r="59" spans="2:41" ht="12.65" customHeight="1" x14ac:dyDescent="0.3">
      <c r="B59" s="528"/>
      <c r="C59" s="114">
        <v>1</v>
      </c>
      <c r="D59" s="114"/>
      <c r="E59" s="181">
        <v>40544</v>
      </c>
      <c r="F59" s="114"/>
      <c r="G59" s="203">
        <f>M59/20</f>
        <v>0</v>
      </c>
      <c r="H59" s="114"/>
      <c r="I59" s="204"/>
      <c r="J59" s="332">
        <v>0</v>
      </c>
      <c r="K59" s="127"/>
      <c r="L59" s="204">
        <f>H59*$M$2</f>
        <v>0</v>
      </c>
      <c r="M59" s="204">
        <f t="shared" ref="M59:M82" si="8">F59*$M$3</f>
        <v>0</v>
      </c>
      <c r="N59" s="206">
        <f t="shared" ref="N59:N82" si="9">J59*100</f>
        <v>0</v>
      </c>
      <c r="O59" s="127"/>
      <c r="W59" s="127"/>
      <c r="X59" s="127"/>
      <c r="Y59" s="127"/>
      <c r="Z59" s="127"/>
      <c r="AA59" s="127"/>
      <c r="AB59" s="127"/>
      <c r="AC59" s="127"/>
      <c r="AD59" s="127"/>
      <c r="AE59" s="127"/>
      <c r="AF59" s="127"/>
      <c r="AG59" s="127"/>
      <c r="AH59" s="127"/>
      <c r="AI59" s="127"/>
      <c r="AJ59" s="127"/>
      <c r="AK59" s="127"/>
      <c r="AL59" s="127"/>
      <c r="AM59" s="127"/>
      <c r="AN59" s="127"/>
      <c r="AO59" s="127"/>
    </row>
    <row r="60" spans="2:41" ht="12.65" customHeight="1" x14ac:dyDescent="0.3">
      <c r="B60" s="528"/>
      <c r="C60" s="114">
        <v>1</v>
      </c>
      <c r="D60" s="114"/>
      <c r="E60" s="181">
        <v>40558</v>
      </c>
      <c r="F60" s="114"/>
      <c r="G60" s="203">
        <f t="shared" ref="G60:G82" si="10">M60/20</f>
        <v>0</v>
      </c>
      <c r="H60" s="114"/>
      <c r="I60" s="203">
        <f t="shared" ref="I60:I82" si="11">(L60-L59)/15</f>
        <v>0</v>
      </c>
      <c r="J60" s="332">
        <v>0</v>
      </c>
      <c r="K60" s="127"/>
      <c r="L60" s="204">
        <f t="shared" ref="L60:L82" si="12">H60*$M$2</f>
        <v>0</v>
      </c>
      <c r="M60" s="204">
        <f t="shared" si="8"/>
        <v>0</v>
      </c>
      <c r="N60" s="206">
        <f t="shared" si="9"/>
        <v>0</v>
      </c>
      <c r="O60" s="127"/>
      <c r="W60" s="127"/>
      <c r="X60" s="127"/>
      <c r="Y60" s="127"/>
      <c r="Z60" s="127"/>
      <c r="AA60" s="127"/>
      <c r="AB60" s="127"/>
      <c r="AC60" s="127"/>
      <c r="AD60" s="127"/>
      <c r="AE60" s="127"/>
      <c r="AF60" s="127"/>
      <c r="AG60" s="127"/>
      <c r="AH60" s="127"/>
      <c r="AI60" s="127"/>
      <c r="AJ60" s="127"/>
      <c r="AK60" s="127"/>
      <c r="AL60" s="127"/>
      <c r="AM60" s="127"/>
      <c r="AN60" s="127"/>
      <c r="AO60" s="127"/>
    </row>
    <row r="61" spans="2:41" ht="12.65" customHeight="1" x14ac:dyDescent="0.3">
      <c r="B61" s="528"/>
      <c r="C61" s="114">
        <v>1</v>
      </c>
      <c r="D61" s="114"/>
      <c r="E61" s="181">
        <v>40575</v>
      </c>
      <c r="F61" s="114"/>
      <c r="G61" s="203">
        <f t="shared" si="10"/>
        <v>0</v>
      </c>
      <c r="H61" s="114"/>
      <c r="I61" s="203">
        <f t="shared" si="11"/>
        <v>0</v>
      </c>
      <c r="J61" s="332">
        <v>0</v>
      </c>
      <c r="K61" s="127"/>
      <c r="L61" s="204">
        <f t="shared" si="12"/>
        <v>0</v>
      </c>
      <c r="M61" s="204">
        <f t="shared" si="8"/>
        <v>0</v>
      </c>
      <c r="N61" s="206">
        <f t="shared" si="9"/>
        <v>0</v>
      </c>
      <c r="O61" s="127"/>
      <c r="W61" s="127"/>
      <c r="X61" s="127"/>
      <c r="Y61" s="127"/>
      <c r="Z61" s="127"/>
      <c r="AA61" s="127"/>
      <c r="AB61" s="127"/>
      <c r="AC61" s="127"/>
      <c r="AD61" s="127"/>
      <c r="AE61" s="127"/>
      <c r="AF61" s="127"/>
      <c r="AG61" s="127"/>
      <c r="AH61" s="127"/>
      <c r="AI61" s="127"/>
      <c r="AJ61" s="127"/>
      <c r="AK61" s="127"/>
      <c r="AL61" s="127"/>
      <c r="AM61" s="127"/>
      <c r="AN61" s="127"/>
      <c r="AO61" s="127"/>
    </row>
    <row r="62" spans="2:41" ht="12.65" customHeight="1" x14ac:dyDescent="0.3">
      <c r="B62" s="528"/>
      <c r="C62" s="114">
        <v>1</v>
      </c>
      <c r="D62" s="114"/>
      <c r="E62" s="181">
        <v>40589</v>
      </c>
      <c r="F62" s="114"/>
      <c r="G62" s="203">
        <f t="shared" si="10"/>
        <v>0</v>
      </c>
      <c r="H62" s="114"/>
      <c r="I62" s="203">
        <f t="shared" si="11"/>
        <v>0</v>
      </c>
      <c r="J62" s="332">
        <v>0</v>
      </c>
      <c r="K62" s="127"/>
      <c r="L62" s="204">
        <f t="shared" si="12"/>
        <v>0</v>
      </c>
      <c r="M62" s="204">
        <f t="shared" si="8"/>
        <v>0</v>
      </c>
      <c r="N62" s="206">
        <f t="shared" si="9"/>
        <v>0</v>
      </c>
      <c r="O62" s="127"/>
      <c r="W62" s="127"/>
      <c r="X62" s="127"/>
      <c r="Y62" s="127"/>
      <c r="Z62" s="127"/>
      <c r="AA62" s="127"/>
      <c r="AB62" s="127"/>
      <c r="AC62" s="127"/>
      <c r="AD62" s="127"/>
      <c r="AE62" s="127"/>
      <c r="AF62" s="127"/>
      <c r="AG62" s="127"/>
      <c r="AH62" s="127"/>
      <c r="AI62" s="127"/>
      <c r="AJ62" s="127"/>
      <c r="AK62" s="127"/>
      <c r="AL62" s="127"/>
      <c r="AM62" s="127"/>
      <c r="AN62" s="127"/>
      <c r="AO62" s="127"/>
    </row>
    <row r="63" spans="2:41" ht="12.65" customHeight="1" x14ac:dyDescent="0.3">
      <c r="B63" s="528"/>
      <c r="C63" s="114">
        <v>1</v>
      </c>
      <c r="D63" s="114"/>
      <c r="E63" s="181">
        <v>40603</v>
      </c>
      <c r="F63" s="114"/>
      <c r="G63" s="203">
        <f t="shared" si="10"/>
        <v>0</v>
      </c>
      <c r="H63" s="114"/>
      <c r="I63" s="203">
        <f t="shared" si="11"/>
        <v>0</v>
      </c>
      <c r="J63" s="332">
        <v>0</v>
      </c>
      <c r="K63" s="127"/>
      <c r="L63" s="204">
        <f t="shared" si="12"/>
        <v>0</v>
      </c>
      <c r="M63" s="204">
        <f t="shared" si="8"/>
        <v>0</v>
      </c>
      <c r="N63" s="206">
        <f t="shared" si="9"/>
        <v>0</v>
      </c>
      <c r="O63" s="127"/>
      <c r="W63" s="127"/>
      <c r="X63" s="127"/>
      <c r="Y63" s="127"/>
      <c r="Z63" s="127"/>
      <c r="AA63" s="127"/>
      <c r="AB63" s="127"/>
      <c r="AC63" s="127"/>
      <c r="AD63" s="127"/>
      <c r="AE63" s="127"/>
      <c r="AF63" s="127"/>
      <c r="AG63" s="127"/>
      <c r="AH63" s="127"/>
      <c r="AI63" s="127"/>
      <c r="AJ63" s="127"/>
      <c r="AK63" s="127"/>
      <c r="AL63" s="127"/>
      <c r="AM63" s="127"/>
      <c r="AN63" s="127"/>
      <c r="AO63" s="127"/>
    </row>
    <row r="64" spans="2:41" ht="12.65" customHeight="1" x14ac:dyDescent="0.3">
      <c r="B64" s="528"/>
      <c r="C64" s="114">
        <v>1</v>
      </c>
      <c r="D64" s="114"/>
      <c r="E64" s="181">
        <v>40617</v>
      </c>
      <c r="F64" s="114"/>
      <c r="G64" s="203">
        <f t="shared" si="10"/>
        <v>0</v>
      </c>
      <c r="H64" s="114"/>
      <c r="I64" s="203">
        <f t="shared" si="11"/>
        <v>0</v>
      </c>
      <c r="J64" s="332">
        <v>0</v>
      </c>
      <c r="K64" s="127"/>
      <c r="L64" s="204">
        <f t="shared" si="12"/>
        <v>0</v>
      </c>
      <c r="M64" s="204">
        <f t="shared" si="8"/>
        <v>0</v>
      </c>
      <c r="N64" s="206">
        <f t="shared" si="9"/>
        <v>0</v>
      </c>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row>
    <row r="65" spans="2:41" ht="12.65" customHeight="1" x14ac:dyDescent="0.3">
      <c r="B65" s="528"/>
      <c r="C65" s="114"/>
      <c r="D65" s="114">
        <v>1</v>
      </c>
      <c r="E65" s="181">
        <v>40634</v>
      </c>
      <c r="F65" s="114">
        <v>2.5</v>
      </c>
      <c r="G65" s="203">
        <f t="shared" si="10"/>
        <v>562.5</v>
      </c>
      <c r="H65" s="114">
        <v>5</v>
      </c>
      <c r="I65" s="203">
        <f t="shared" si="11"/>
        <v>666.66666666666663</v>
      </c>
      <c r="J65" s="332">
        <v>0</v>
      </c>
      <c r="K65" s="127"/>
      <c r="L65" s="204">
        <f t="shared" si="12"/>
        <v>10000</v>
      </c>
      <c r="M65" s="204">
        <f t="shared" si="8"/>
        <v>11250</v>
      </c>
      <c r="N65" s="206">
        <f t="shared" si="9"/>
        <v>0</v>
      </c>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row>
    <row r="66" spans="2:41" ht="12.65" customHeight="1" x14ac:dyDescent="0.3">
      <c r="B66" s="528"/>
      <c r="C66" s="114"/>
      <c r="D66" s="114">
        <v>1</v>
      </c>
      <c r="E66" s="181">
        <v>40648</v>
      </c>
      <c r="F66" s="114">
        <v>5</v>
      </c>
      <c r="G66" s="203">
        <f t="shared" si="10"/>
        <v>1125</v>
      </c>
      <c r="H66" s="114">
        <v>7</v>
      </c>
      <c r="I66" s="203">
        <f t="shared" si="11"/>
        <v>266.66666666666669</v>
      </c>
      <c r="J66" s="332">
        <v>0.01</v>
      </c>
      <c r="K66" s="127"/>
      <c r="L66" s="204">
        <f t="shared" si="12"/>
        <v>14000</v>
      </c>
      <c r="M66" s="204">
        <f t="shared" si="8"/>
        <v>22500</v>
      </c>
      <c r="N66" s="206">
        <f t="shared" si="9"/>
        <v>1</v>
      </c>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row>
    <row r="67" spans="2:41" ht="12.65" customHeight="1" x14ac:dyDescent="0.3">
      <c r="B67" s="528"/>
      <c r="C67" s="114"/>
      <c r="D67" s="114">
        <v>1</v>
      </c>
      <c r="E67" s="181">
        <v>40664</v>
      </c>
      <c r="F67" s="114">
        <v>7</v>
      </c>
      <c r="G67" s="203">
        <f t="shared" si="10"/>
        <v>1575</v>
      </c>
      <c r="H67" s="114">
        <v>10</v>
      </c>
      <c r="I67" s="203">
        <f t="shared" si="11"/>
        <v>400</v>
      </c>
      <c r="J67" s="332">
        <v>0.02</v>
      </c>
      <c r="K67" s="127"/>
      <c r="L67" s="204">
        <f t="shared" si="12"/>
        <v>20000</v>
      </c>
      <c r="M67" s="204">
        <f t="shared" si="8"/>
        <v>31500</v>
      </c>
      <c r="N67" s="206">
        <f t="shared" si="9"/>
        <v>2</v>
      </c>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row>
    <row r="68" spans="2:41" ht="12.65" customHeight="1" x14ac:dyDescent="0.3">
      <c r="B68" s="528"/>
      <c r="C68" s="114"/>
      <c r="D68" s="114">
        <v>1</v>
      </c>
      <c r="E68" s="181">
        <v>40678</v>
      </c>
      <c r="F68" s="114">
        <v>7</v>
      </c>
      <c r="G68" s="203">
        <f t="shared" si="10"/>
        <v>1575</v>
      </c>
      <c r="H68" s="114">
        <v>13</v>
      </c>
      <c r="I68" s="203">
        <f t="shared" si="11"/>
        <v>400</v>
      </c>
      <c r="J68" s="332">
        <v>0.03</v>
      </c>
      <c r="K68" s="127"/>
      <c r="L68" s="204">
        <f t="shared" si="12"/>
        <v>26000</v>
      </c>
      <c r="M68" s="204">
        <f t="shared" si="8"/>
        <v>31500</v>
      </c>
      <c r="N68" s="206">
        <f t="shared" si="9"/>
        <v>3</v>
      </c>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row>
    <row r="69" spans="2:41" ht="12.65" customHeight="1" x14ac:dyDescent="0.3">
      <c r="B69" s="528"/>
      <c r="C69" s="114"/>
      <c r="D69" s="114">
        <v>1</v>
      </c>
      <c r="E69" s="181">
        <v>40695</v>
      </c>
      <c r="F69" s="114">
        <v>6.5</v>
      </c>
      <c r="G69" s="203">
        <f t="shared" si="10"/>
        <v>1462.5</v>
      </c>
      <c r="H69" s="114">
        <v>16</v>
      </c>
      <c r="I69" s="203">
        <f t="shared" si="11"/>
        <v>400</v>
      </c>
      <c r="J69" s="332">
        <v>0.04</v>
      </c>
      <c r="K69" s="127"/>
      <c r="L69" s="204">
        <f t="shared" si="12"/>
        <v>32000</v>
      </c>
      <c r="M69" s="204">
        <f t="shared" si="8"/>
        <v>29250</v>
      </c>
      <c r="N69" s="206">
        <f t="shared" si="9"/>
        <v>4</v>
      </c>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row>
    <row r="70" spans="2:41" ht="12.65" customHeight="1" x14ac:dyDescent="0.3">
      <c r="B70" s="528"/>
      <c r="C70" s="114"/>
      <c r="D70" s="114">
        <v>1</v>
      </c>
      <c r="E70" s="181">
        <v>40709</v>
      </c>
      <c r="F70" s="114">
        <v>6</v>
      </c>
      <c r="G70" s="203">
        <f t="shared" si="10"/>
        <v>1350</v>
      </c>
      <c r="H70" s="114">
        <v>19</v>
      </c>
      <c r="I70" s="203">
        <f t="shared" si="11"/>
        <v>400</v>
      </c>
      <c r="J70" s="332">
        <v>0.05</v>
      </c>
      <c r="K70" s="127"/>
      <c r="L70" s="204">
        <f t="shared" si="12"/>
        <v>38000</v>
      </c>
      <c r="M70" s="204">
        <f t="shared" si="8"/>
        <v>27000</v>
      </c>
      <c r="N70" s="206">
        <f t="shared" si="9"/>
        <v>5</v>
      </c>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row>
    <row r="71" spans="2:41" ht="12.65" customHeight="1" x14ac:dyDescent="0.3">
      <c r="B71" s="528"/>
      <c r="C71" s="114"/>
      <c r="D71" s="114">
        <v>1</v>
      </c>
      <c r="E71" s="181">
        <v>40725</v>
      </c>
      <c r="F71" s="114">
        <v>5.5</v>
      </c>
      <c r="G71" s="203">
        <f t="shared" si="10"/>
        <v>1237.5</v>
      </c>
      <c r="H71" s="114">
        <v>23</v>
      </c>
      <c r="I71" s="203">
        <f t="shared" si="11"/>
        <v>533.33333333333337</v>
      </c>
      <c r="J71" s="332">
        <v>0.05</v>
      </c>
      <c r="K71" s="127"/>
      <c r="L71" s="204">
        <f t="shared" si="12"/>
        <v>46000</v>
      </c>
      <c r="M71" s="204">
        <f t="shared" si="8"/>
        <v>24750</v>
      </c>
      <c r="N71" s="206">
        <f t="shared" si="9"/>
        <v>5</v>
      </c>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row>
    <row r="72" spans="2:41" ht="12.65" customHeight="1" x14ac:dyDescent="0.3">
      <c r="B72" s="528"/>
      <c r="C72" s="114"/>
      <c r="D72" s="114">
        <v>1</v>
      </c>
      <c r="E72" s="181">
        <v>40739</v>
      </c>
      <c r="F72" s="114">
        <v>5</v>
      </c>
      <c r="G72" s="203">
        <f t="shared" si="10"/>
        <v>1125</v>
      </c>
      <c r="H72" s="114">
        <v>24</v>
      </c>
      <c r="I72" s="203">
        <f t="shared" si="11"/>
        <v>133.33333333333334</v>
      </c>
      <c r="J72" s="332">
        <v>0.02</v>
      </c>
      <c r="K72" s="127"/>
      <c r="L72" s="204">
        <f t="shared" si="12"/>
        <v>48000</v>
      </c>
      <c r="M72" s="204">
        <f t="shared" si="8"/>
        <v>22500</v>
      </c>
      <c r="N72" s="206">
        <f t="shared" si="9"/>
        <v>2</v>
      </c>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row>
    <row r="73" spans="2:41" ht="12.65" customHeight="1" x14ac:dyDescent="0.3">
      <c r="B73" s="528"/>
      <c r="C73" s="114"/>
      <c r="D73" s="114">
        <v>1</v>
      </c>
      <c r="E73" s="181">
        <v>40756</v>
      </c>
      <c r="F73" s="114">
        <v>4.5</v>
      </c>
      <c r="G73" s="203">
        <f t="shared" si="10"/>
        <v>1012.5</v>
      </c>
      <c r="H73" s="114">
        <v>23</v>
      </c>
      <c r="I73" s="203">
        <f t="shared" si="11"/>
        <v>-133.33333333333334</v>
      </c>
      <c r="J73" s="332">
        <v>0.01</v>
      </c>
      <c r="K73" s="127"/>
      <c r="L73" s="204">
        <f t="shared" si="12"/>
        <v>46000</v>
      </c>
      <c r="M73" s="204">
        <f t="shared" si="8"/>
        <v>20250</v>
      </c>
      <c r="N73" s="206">
        <f t="shared" si="9"/>
        <v>1</v>
      </c>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row>
    <row r="74" spans="2:41" ht="12.65" customHeight="1" x14ac:dyDescent="0.3">
      <c r="B74" s="528"/>
      <c r="C74" s="114"/>
      <c r="D74" s="114">
        <v>1</v>
      </c>
      <c r="E74" s="181">
        <v>40770</v>
      </c>
      <c r="F74" s="114">
        <v>4</v>
      </c>
      <c r="G74" s="203">
        <f t="shared" si="10"/>
        <v>900</v>
      </c>
      <c r="H74" s="114">
        <v>20</v>
      </c>
      <c r="I74" s="203">
        <f t="shared" si="11"/>
        <v>-400</v>
      </c>
      <c r="J74" s="332">
        <v>0.01</v>
      </c>
      <c r="K74" s="127"/>
      <c r="L74" s="204">
        <f t="shared" si="12"/>
        <v>40000</v>
      </c>
      <c r="M74" s="204">
        <f t="shared" si="8"/>
        <v>18000</v>
      </c>
      <c r="N74" s="206">
        <f t="shared" si="9"/>
        <v>1</v>
      </c>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row>
    <row r="75" spans="2:41" ht="12.65" customHeight="1" x14ac:dyDescent="0.3">
      <c r="B75" s="528"/>
      <c r="C75" s="114"/>
      <c r="D75" s="114"/>
      <c r="E75" s="181">
        <v>40787</v>
      </c>
      <c r="F75" s="114">
        <v>3.5</v>
      </c>
      <c r="G75" s="203">
        <f t="shared" si="10"/>
        <v>787.5</v>
      </c>
      <c r="H75" s="114">
        <v>14</v>
      </c>
      <c r="I75" s="203">
        <f t="shared" si="11"/>
        <v>-800</v>
      </c>
      <c r="J75" s="332">
        <v>0.01</v>
      </c>
      <c r="K75" s="127"/>
      <c r="L75" s="204">
        <f t="shared" si="12"/>
        <v>28000</v>
      </c>
      <c r="M75" s="204">
        <f t="shared" si="8"/>
        <v>15750</v>
      </c>
      <c r="N75" s="206">
        <f t="shared" si="9"/>
        <v>1</v>
      </c>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row>
    <row r="76" spans="2:41" ht="12.65" customHeight="1" x14ac:dyDescent="0.3">
      <c r="B76" s="528"/>
      <c r="C76" s="114"/>
      <c r="D76" s="114"/>
      <c r="E76" s="181">
        <v>40801</v>
      </c>
      <c r="F76" s="114">
        <v>4</v>
      </c>
      <c r="G76" s="203">
        <f t="shared" si="10"/>
        <v>900</v>
      </c>
      <c r="H76" s="114">
        <v>12</v>
      </c>
      <c r="I76" s="203">
        <f t="shared" si="11"/>
        <v>-266.66666666666669</v>
      </c>
      <c r="J76" s="332">
        <v>0.01</v>
      </c>
      <c r="K76" s="127"/>
      <c r="L76" s="204">
        <f t="shared" si="12"/>
        <v>24000</v>
      </c>
      <c r="M76" s="204">
        <f t="shared" si="8"/>
        <v>18000</v>
      </c>
      <c r="N76" s="206">
        <f t="shared" si="9"/>
        <v>1</v>
      </c>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row>
    <row r="77" spans="2:41" ht="12.65" customHeight="1" x14ac:dyDescent="0.3">
      <c r="B77" s="528"/>
      <c r="C77" s="114">
        <v>1</v>
      </c>
      <c r="D77" s="114"/>
      <c r="E77" s="181">
        <v>40817</v>
      </c>
      <c r="F77" s="114">
        <v>3</v>
      </c>
      <c r="G77" s="203">
        <f t="shared" si="10"/>
        <v>675</v>
      </c>
      <c r="H77" s="114">
        <v>10</v>
      </c>
      <c r="I77" s="203">
        <f t="shared" si="11"/>
        <v>-266.66666666666669</v>
      </c>
      <c r="J77" s="332">
        <v>0</v>
      </c>
      <c r="K77" s="127"/>
      <c r="L77" s="204">
        <f t="shared" si="12"/>
        <v>20000</v>
      </c>
      <c r="M77" s="204">
        <f t="shared" si="8"/>
        <v>13500</v>
      </c>
      <c r="N77" s="206">
        <f t="shared" si="9"/>
        <v>0</v>
      </c>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row>
    <row r="78" spans="2:41" ht="12.65" customHeight="1" x14ac:dyDescent="0.3">
      <c r="B78" s="528"/>
      <c r="C78" s="114">
        <v>1</v>
      </c>
      <c r="D78" s="114"/>
      <c r="E78" s="181">
        <v>40831</v>
      </c>
      <c r="F78" s="114">
        <v>2</v>
      </c>
      <c r="G78" s="203">
        <f t="shared" si="10"/>
        <v>450</v>
      </c>
      <c r="H78" s="114">
        <v>9</v>
      </c>
      <c r="I78" s="203">
        <f t="shared" si="11"/>
        <v>-133.33333333333334</v>
      </c>
      <c r="J78" s="332">
        <v>0</v>
      </c>
      <c r="K78" s="127"/>
      <c r="L78" s="204">
        <f t="shared" si="12"/>
        <v>18000</v>
      </c>
      <c r="M78" s="204">
        <f t="shared" si="8"/>
        <v>9000</v>
      </c>
      <c r="N78" s="206">
        <f t="shared" si="9"/>
        <v>0</v>
      </c>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row>
    <row r="79" spans="2:41" ht="12.65" customHeight="1" x14ac:dyDescent="0.3">
      <c r="B79" s="528"/>
      <c r="C79" s="114">
        <v>1</v>
      </c>
      <c r="D79" s="114"/>
      <c r="E79" s="181">
        <v>40848</v>
      </c>
      <c r="F79" s="114">
        <v>1</v>
      </c>
      <c r="G79" s="203">
        <f t="shared" si="10"/>
        <v>225</v>
      </c>
      <c r="H79" s="114">
        <v>8</v>
      </c>
      <c r="I79" s="203">
        <f t="shared" si="11"/>
        <v>-133.33333333333334</v>
      </c>
      <c r="J79" s="332">
        <v>0</v>
      </c>
      <c r="K79" s="127"/>
      <c r="L79" s="204">
        <f t="shared" si="12"/>
        <v>16000</v>
      </c>
      <c r="M79" s="204">
        <f t="shared" si="8"/>
        <v>4500</v>
      </c>
      <c r="N79" s="206">
        <f t="shared" si="9"/>
        <v>0</v>
      </c>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row>
    <row r="80" spans="2:41" ht="12.65" customHeight="1" x14ac:dyDescent="0.3">
      <c r="B80" s="528"/>
      <c r="C80" s="114">
        <v>1</v>
      </c>
      <c r="D80" s="114"/>
      <c r="E80" s="181">
        <v>40862</v>
      </c>
      <c r="F80" s="114">
        <v>0</v>
      </c>
      <c r="G80" s="203">
        <f t="shared" si="10"/>
        <v>0</v>
      </c>
      <c r="H80" s="114">
        <v>7</v>
      </c>
      <c r="I80" s="203">
        <f t="shared" si="11"/>
        <v>-133.33333333333334</v>
      </c>
      <c r="J80" s="332">
        <v>0</v>
      </c>
      <c r="K80" s="127"/>
      <c r="L80" s="204">
        <f t="shared" si="12"/>
        <v>14000</v>
      </c>
      <c r="M80" s="204">
        <f t="shared" si="8"/>
        <v>0</v>
      </c>
      <c r="N80" s="206">
        <f t="shared" si="9"/>
        <v>0</v>
      </c>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row>
    <row r="81" spans="2:41" ht="12.65" customHeight="1" x14ac:dyDescent="0.3">
      <c r="B81" s="528"/>
      <c r="C81" s="114">
        <v>1</v>
      </c>
      <c r="D81" s="114"/>
      <c r="E81" s="181">
        <v>40878</v>
      </c>
      <c r="F81" s="114">
        <v>0</v>
      </c>
      <c r="G81" s="203">
        <f t="shared" si="10"/>
        <v>0</v>
      </c>
      <c r="H81" s="114">
        <v>6</v>
      </c>
      <c r="I81" s="203">
        <f t="shared" si="11"/>
        <v>-133.33333333333334</v>
      </c>
      <c r="J81" s="332">
        <v>0</v>
      </c>
      <c r="K81" s="127"/>
      <c r="L81" s="204">
        <f t="shared" si="12"/>
        <v>12000</v>
      </c>
      <c r="M81" s="204">
        <f t="shared" si="8"/>
        <v>0</v>
      </c>
      <c r="N81" s="206">
        <f t="shared" si="9"/>
        <v>0</v>
      </c>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row>
    <row r="82" spans="2:41" ht="12.65" customHeight="1" x14ac:dyDescent="0.3">
      <c r="B82" s="529"/>
      <c r="C82" s="114">
        <v>1</v>
      </c>
      <c r="D82" s="114"/>
      <c r="E82" s="181">
        <v>40892</v>
      </c>
      <c r="F82" s="114">
        <v>0</v>
      </c>
      <c r="G82" s="208">
        <f t="shared" si="10"/>
        <v>0</v>
      </c>
      <c r="H82" s="114">
        <v>6</v>
      </c>
      <c r="I82" s="203">
        <f t="shared" si="11"/>
        <v>0</v>
      </c>
      <c r="J82" s="332">
        <v>0</v>
      </c>
      <c r="K82" s="127"/>
      <c r="L82" s="204">
        <f t="shared" si="12"/>
        <v>12000</v>
      </c>
      <c r="M82" s="204">
        <f t="shared" si="8"/>
        <v>0</v>
      </c>
      <c r="N82" s="206">
        <f t="shared" si="9"/>
        <v>0</v>
      </c>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row>
    <row r="83" spans="2:41" x14ac:dyDescent="0.25">
      <c r="B83" s="127"/>
      <c r="E83" s="314">
        <v>43100</v>
      </c>
      <c r="F83" s="300">
        <f>F59</f>
        <v>0</v>
      </c>
      <c r="G83" s="300">
        <f t="shared" ref="G83:N83" si="13">G59</f>
        <v>0</v>
      </c>
      <c r="H83" s="300">
        <f t="shared" si="13"/>
        <v>0</v>
      </c>
      <c r="I83" s="300">
        <f t="shared" si="13"/>
        <v>0</v>
      </c>
      <c r="J83" s="334">
        <f t="shared" si="13"/>
        <v>0</v>
      </c>
      <c r="K83" s="300"/>
      <c r="L83" s="300">
        <f t="shared" si="13"/>
        <v>0</v>
      </c>
      <c r="M83" s="300">
        <f t="shared" si="13"/>
        <v>0</v>
      </c>
      <c r="N83" s="315">
        <f t="shared" si="13"/>
        <v>0</v>
      </c>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row>
    <row r="84" spans="2:41" x14ac:dyDescent="0.25">
      <c r="B84" s="127"/>
      <c r="E84" s="127"/>
      <c r="G84" s="127"/>
      <c r="I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row>
    <row r="85" spans="2:41" x14ac:dyDescent="0.25">
      <c r="B85" s="127"/>
      <c r="E85" s="127"/>
      <c r="G85" s="127"/>
      <c r="I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row>
    <row r="86" spans="2:41" ht="187.5" x14ac:dyDescent="0.25">
      <c r="B86" s="194" t="s">
        <v>160</v>
      </c>
      <c r="C86" s="151" t="s">
        <v>45</v>
      </c>
      <c r="D86" s="151" t="s">
        <v>46</v>
      </c>
      <c r="E86" s="196" t="s">
        <v>38</v>
      </c>
      <c r="F86" s="154" t="s">
        <v>39</v>
      </c>
      <c r="G86" s="198" t="s">
        <v>84</v>
      </c>
      <c r="H86" s="155" t="s">
        <v>86</v>
      </c>
      <c r="I86" s="200" t="s">
        <v>85</v>
      </c>
      <c r="J86" s="336" t="s">
        <v>40</v>
      </c>
      <c r="K86" s="127"/>
      <c r="L86" s="199" t="s">
        <v>42</v>
      </c>
      <c r="M86" s="197" t="s">
        <v>43</v>
      </c>
      <c r="N86" s="201" t="s">
        <v>87</v>
      </c>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row>
    <row r="87" spans="2:41" ht="13" x14ac:dyDescent="0.3">
      <c r="B87" s="528"/>
      <c r="C87" s="114">
        <v>1</v>
      </c>
      <c r="D87" s="114"/>
      <c r="E87" s="181">
        <v>40544</v>
      </c>
      <c r="F87" s="114"/>
      <c r="G87" s="203">
        <f t="shared" ref="G87:G110" si="14">M87/20</f>
        <v>0</v>
      </c>
      <c r="H87" s="114"/>
      <c r="I87" s="204"/>
      <c r="J87" s="332"/>
      <c r="K87" s="127"/>
      <c r="L87" s="204">
        <f>H87*$M$2</f>
        <v>0</v>
      </c>
      <c r="M87" s="204">
        <f>F87*$M$3</f>
        <v>0</v>
      </c>
      <c r="N87" s="206">
        <f t="shared" ref="N87:N110" si="15">J87*100</f>
        <v>0</v>
      </c>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row>
    <row r="88" spans="2:41" ht="13" x14ac:dyDescent="0.3">
      <c r="B88" s="528"/>
      <c r="C88" s="114">
        <v>1</v>
      </c>
      <c r="D88" s="114"/>
      <c r="E88" s="181">
        <v>40558</v>
      </c>
      <c r="F88" s="114"/>
      <c r="G88" s="203">
        <f t="shared" si="14"/>
        <v>0</v>
      </c>
      <c r="H88" s="114"/>
      <c r="I88" s="203">
        <f t="shared" ref="I88:I110" si="16">(L88-L87)/15</f>
        <v>0</v>
      </c>
      <c r="J88" s="332"/>
      <c r="K88" s="127"/>
      <c r="L88" s="204">
        <f t="shared" ref="L88:L110" si="17">H88*$M$2</f>
        <v>0</v>
      </c>
      <c r="M88" s="204">
        <f t="shared" ref="M88:M110" si="18">F88*$M$3</f>
        <v>0</v>
      </c>
      <c r="N88" s="206">
        <f t="shared" si="15"/>
        <v>0</v>
      </c>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row>
    <row r="89" spans="2:41" ht="13" x14ac:dyDescent="0.3">
      <c r="B89" s="528"/>
      <c r="C89" s="114">
        <v>1</v>
      </c>
      <c r="D89" s="114"/>
      <c r="E89" s="181">
        <v>40575</v>
      </c>
      <c r="F89" s="114"/>
      <c r="G89" s="203">
        <f t="shared" si="14"/>
        <v>0</v>
      </c>
      <c r="H89" s="114"/>
      <c r="I89" s="203">
        <f t="shared" si="16"/>
        <v>0</v>
      </c>
      <c r="J89" s="332"/>
      <c r="K89" s="127"/>
      <c r="L89" s="204">
        <f t="shared" si="17"/>
        <v>0</v>
      </c>
      <c r="M89" s="204">
        <f t="shared" si="18"/>
        <v>0</v>
      </c>
      <c r="N89" s="206">
        <f t="shared" si="15"/>
        <v>0</v>
      </c>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row>
    <row r="90" spans="2:41" ht="13" x14ac:dyDescent="0.3">
      <c r="B90" s="528"/>
      <c r="C90" s="114">
        <v>1</v>
      </c>
      <c r="D90" s="114"/>
      <c r="E90" s="181">
        <v>40589</v>
      </c>
      <c r="F90" s="114"/>
      <c r="G90" s="203">
        <f t="shared" si="14"/>
        <v>0</v>
      </c>
      <c r="H90" s="114"/>
      <c r="I90" s="203">
        <f t="shared" si="16"/>
        <v>0</v>
      </c>
      <c r="J90" s="332"/>
      <c r="K90" s="127"/>
      <c r="L90" s="204">
        <f t="shared" si="17"/>
        <v>0</v>
      </c>
      <c r="M90" s="204">
        <f t="shared" si="18"/>
        <v>0</v>
      </c>
      <c r="N90" s="206">
        <f t="shared" si="15"/>
        <v>0</v>
      </c>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row>
    <row r="91" spans="2:41" ht="13" x14ac:dyDescent="0.3">
      <c r="B91" s="528"/>
      <c r="C91" s="114">
        <v>1</v>
      </c>
      <c r="D91" s="114"/>
      <c r="E91" s="181">
        <v>40603</v>
      </c>
      <c r="F91" s="114"/>
      <c r="G91" s="203">
        <f t="shared" si="14"/>
        <v>0</v>
      </c>
      <c r="H91" s="114"/>
      <c r="I91" s="203">
        <f t="shared" si="16"/>
        <v>0</v>
      </c>
      <c r="J91" s="332"/>
      <c r="K91" s="127"/>
      <c r="L91" s="204">
        <f t="shared" si="17"/>
        <v>0</v>
      </c>
      <c r="M91" s="204">
        <f t="shared" si="18"/>
        <v>0</v>
      </c>
      <c r="N91" s="206">
        <f t="shared" si="15"/>
        <v>0</v>
      </c>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row>
    <row r="92" spans="2:41" ht="13" x14ac:dyDescent="0.3">
      <c r="B92" s="528"/>
      <c r="C92" s="114">
        <v>1</v>
      </c>
      <c r="D92" s="114"/>
      <c r="E92" s="181">
        <v>40617</v>
      </c>
      <c r="F92" s="114"/>
      <c r="G92" s="203">
        <f t="shared" si="14"/>
        <v>0</v>
      </c>
      <c r="H92" s="114"/>
      <c r="I92" s="203">
        <f t="shared" si="16"/>
        <v>0</v>
      </c>
      <c r="J92" s="332"/>
      <c r="K92" s="127"/>
      <c r="L92" s="204">
        <f t="shared" si="17"/>
        <v>0</v>
      </c>
      <c r="M92" s="204">
        <f t="shared" si="18"/>
        <v>0</v>
      </c>
      <c r="N92" s="206">
        <f t="shared" si="15"/>
        <v>0</v>
      </c>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row>
    <row r="93" spans="2:41" ht="13" x14ac:dyDescent="0.3">
      <c r="B93" s="528"/>
      <c r="C93" s="114"/>
      <c r="D93" s="114">
        <v>1</v>
      </c>
      <c r="E93" s="181">
        <v>40634</v>
      </c>
      <c r="F93" s="114"/>
      <c r="G93" s="203">
        <f t="shared" si="14"/>
        <v>0</v>
      </c>
      <c r="H93" s="114">
        <v>6</v>
      </c>
      <c r="I93" s="203">
        <f t="shared" si="16"/>
        <v>800</v>
      </c>
      <c r="J93" s="332"/>
      <c r="K93" s="127"/>
      <c r="L93" s="204">
        <f t="shared" si="17"/>
        <v>12000</v>
      </c>
      <c r="M93" s="204">
        <f t="shared" si="18"/>
        <v>0</v>
      </c>
      <c r="N93" s="206">
        <f t="shared" si="15"/>
        <v>0</v>
      </c>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row>
    <row r="94" spans="2:41" ht="13" x14ac:dyDescent="0.3">
      <c r="B94" s="528"/>
      <c r="C94" s="114"/>
      <c r="D94" s="114">
        <v>1</v>
      </c>
      <c r="E94" s="181">
        <v>40648</v>
      </c>
      <c r="F94" s="114">
        <v>3</v>
      </c>
      <c r="G94" s="203">
        <f t="shared" si="14"/>
        <v>675</v>
      </c>
      <c r="H94" s="114">
        <v>5</v>
      </c>
      <c r="I94" s="203">
        <f t="shared" si="16"/>
        <v>-133.33333333333334</v>
      </c>
      <c r="J94" s="332"/>
      <c r="K94" s="127"/>
      <c r="L94" s="204">
        <f t="shared" si="17"/>
        <v>10000</v>
      </c>
      <c r="M94" s="204">
        <f t="shared" si="18"/>
        <v>13500</v>
      </c>
      <c r="N94" s="206">
        <f t="shared" si="15"/>
        <v>0</v>
      </c>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row>
    <row r="95" spans="2:41" ht="13" x14ac:dyDescent="0.3">
      <c r="B95" s="528"/>
      <c r="C95" s="114"/>
      <c r="D95" s="114">
        <v>1</v>
      </c>
      <c r="E95" s="181">
        <v>40664</v>
      </c>
      <c r="F95" s="114">
        <v>4</v>
      </c>
      <c r="G95" s="203">
        <f t="shared" si="14"/>
        <v>900</v>
      </c>
      <c r="H95" s="114">
        <v>9</v>
      </c>
      <c r="I95" s="203">
        <f t="shared" si="16"/>
        <v>533.33333333333337</v>
      </c>
      <c r="J95" s="332"/>
      <c r="K95" s="127"/>
      <c r="L95" s="204">
        <f t="shared" si="17"/>
        <v>18000</v>
      </c>
      <c r="M95" s="204">
        <f t="shared" si="18"/>
        <v>18000</v>
      </c>
      <c r="N95" s="206">
        <f t="shared" si="15"/>
        <v>0</v>
      </c>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row>
    <row r="96" spans="2:41" ht="13" x14ac:dyDescent="0.3">
      <c r="B96" s="528"/>
      <c r="C96" s="114"/>
      <c r="D96" s="114">
        <v>1</v>
      </c>
      <c r="E96" s="181">
        <v>40678</v>
      </c>
      <c r="F96" s="114">
        <v>7</v>
      </c>
      <c r="G96" s="203">
        <f t="shared" si="14"/>
        <v>1575</v>
      </c>
      <c r="H96" s="114">
        <v>13</v>
      </c>
      <c r="I96" s="203">
        <f t="shared" si="16"/>
        <v>533.33333333333337</v>
      </c>
      <c r="J96" s="332">
        <v>0.05</v>
      </c>
      <c r="K96" s="127"/>
      <c r="L96" s="204">
        <f t="shared" si="17"/>
        <v>26000</v>
      </c>
      <c r="M96" s="204">
        <f t="shared" si="18"/>
        <v>31500</v>
      </c>
      <c r="N96" s="206">
        <f t="shared" si="15"/>
        <v>5</v>
      </c>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row>
    <row r="97" spans="2:41" ht="13" x14ac:dyDescent="0.3">
      <c r="B97" s="528"/>
      <c r="C97" s="114"/>
      <c r="D97" s="114">
        <v>1</v>
      </c>
      <c r="E97" s="181">
        <v>40695</v>
      </c>
      <c r="F97" s="114">
        <v>8</v>
      </c>
      <c r="G97" s="203">
        <f t="shared" si="14"/>
        <v>1800</v>
      </c>
      <c r="H97" s="114">
        <v>17</v>
      </c>
      <c r="I97" s="203">
        <f t="shared" si="16"/>
        <v>533.33333333333337</v>
      </c>
      <c r="J97" s="332">
        <v>0.05</v>
      </c>
      <c r="K97" s="127"/>
      <c r="L97" s="204">
        <f t="shared" si="17"/>
        <v>34000</v>
      </c>
      <c r="M97" s="204">
        <f t="shared" si="18"/>
        <v>36000</v>
      </c>
      <c r="N97" s="206">
        <f t="shared" si="15"/>
        <v>5</v>
      </c>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row>
    <row r="98" spans="2:41" ht="13" x14ac:dyDescent="0.3">
      <c r="B98" s="528"/>
      <c r="C98" s="114"/>
      <c r="D98" s="114">
        <v>1</v>
      </c>
      <c r="E98" s="181">
        <v>40709</v>
      </c>
      <c r="F98" s="114">
        <v>8</v>
      </c>
      <c r="G98" s="203">
        <f t="shared" si="14"/>
        <v>1800</v>
      </c>
      <c r="H98" s="114">
        <v>21</v>
      </c>
      <c r="I98" s="203">
        <f t="shared" si="16"/>
        <v>533.33333333333337</v>
      </c>
      <c r="J98" s="332">
        <v>0.05</v>
      </c>
      <c r="K98" s="127"/>
      <c r="L98" s="204">
        <f t="shared" si="17"/>
        <v>42000</v>
      </c>
      <c r="M98" s="204">
        <f t="shared" si="18"/>
        <v>36000</v>
      </c>
      <c r="N98" s="206">
        <f t="shared" si="15"/>
        <v>5</v>
      </c>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row>
    <row r="99" spans="2:41" ht="13" x14ac:dyDescent="0.3">
      <c r="B99" s="528"/>
      <c r="C99" s="114"/>
      <c r="D99" s="114">
        <v>1</v>
      </c>
      <c r="E99" s="181">
        <v>40725</v>
      </c>
      <c r="F99" s="114">
        <v>8</v>
      </c>
      <c r="G99" s="203">
        <f t="shared" si="14"/>
        <v>1800</v>
      </c>
      <c r="H99" s="114">
        <v>25</v>
      </c>
      <c r="I99" s="203">
        <f t="shared" si="16"/>
        <v>533.33333333333337</v>
      </c>
      <c r="J99" s="332">
        <v>0.05</v>
      </c>
      <c r="K99" s="127"/>
      <c r="L99" s="204">
        <f t="shared" si="17"/>
        <v>50000</v>
      </c>
      <c r="M99" s="204">
        <f t="shared" si="18"/>
        <v>36000</v>
      </c>
      <c r="N99" s="206">
        <f t="shared" si="15"/>
        <v>5</v>
      </c>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row>
    <row r="100" spans="2:41" ht="13" x14ac:dyDescent="0.3">
      <c r="B100" s="528"/>
      <c r="C100" s="114"/>
      <c r="D100" s="114">
        <v>1</v>
      </c>
      <c r="E100" s="181">
        <v>40739</v>
      </c>
      <c r="F100" s="114">
        <v>5</v>
      </c>
      <c r="G100" s="203">
        <f t="shared" si="14"/>
        <v>1125</v>
      </c>
      <c r="H100" s="114">
        <v>26</v>
      </c>
      <c r="I100" s="203">
        <f t="shared" si="16"/>
        <v>133.33333333333334</v>
      </c>
      <c r="J100" s="332">
        <v>0.05</v>
      </c>
      <c r="K100" s="127"/>
      <c r="L100" s="204">
        <f t="shared" si="17"/>
        <v>52000</v>
      </c>
      <c r="M100" s="204">
        <f t="shared" si="18"/>
        <v>22500</v>
      </c>
      <c r="N100" s="206">
        <f t="shared" si="15"/>
        <v>5</v>
      </c>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row>
    <row r="101" spans="2:41" ht="13" x14ac:dyDescent="0.3">
      <c r="B101" s="528"/>
      <c r="C101" s="114"/>
      <c r="D101" s="114">
        <v>1</v>
      </c>
      <c r="E101" s="181">
        <v>40756</v>
      </c>
      <c r="F101" s="114">
        <v>4.5</v>
      </c>
      <c r="G101" s="203">
        <f t="shared" si="14"/>
        <v>1012.5</v>
      </c>
      <c r="H101" s="114">
        <v>25</v>
      </c>
      <c r="I101" s="203">
        <f t="shared" si="16"/>
        <v>-133.33333333333334</v>
      </c>
      <c r="J101" s="332">
        <v>0.05</v>
      </c>
      <c r="K101" s="127"/>
      <c r="L101" s="204">
        <f t="shared" si="17"/>
        <v>50000</v>
      </c>
      <c r="M101" s="204">
        <f t="shared" si="18"/>
        <v>20250</v>
      </c>
      <c r="N101" s="206">
        <f t="shared" si="15"/>
        <v>5</v>
      </c>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row>
    <row r="102" spans="2:41" ht="13" x14ac:dyDescent="0.3">
      <c r="B102" s="528"/>
      <c r="C102" s="114"/>
      <c r="D102" s="114">
        <v>1</v>
      </c>
      <c r="E102" s="181">
        <v>40770</v>
      </c>
      <c r="F102" s="114">
        <v>4</v>
      </c>
      <c r="G102" s="203">
        <f t="shared" si="14"/>
        <v>900</v>
      </c>
      <c r="H102" s="114">
        <v>20</v>
      </c>
      <c r="I102" s="203">
        <f t="shared" si="16"/>
        <v>-666.66666666666663</v>
      </c>
      <c r="J102" s="332">
        <v>0.05</v>
      </c>
      <c r="K102" s="127"/>
      <c r="L102" s="204">
        <f t="shared" si="17"/>
        <v>40000</v>
      </c>
      <c r="M102" s="204">
        <f t="shared" si="18"/>
        <v>18000</v>
      </c>
      <c r="N102" s="206">
        <f t="shared" si="15"/>
        <v>5</v>
      </c>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row>
    <row r="103" spans="2:41" ht="13" x14ac:dyDescent="0.3">
      <c r="B103" s="528"/>
      <c r="C103" s="114"/>
      <c r="D103" s="114"/>
      <c r="E103" s="181">
        <v>40787</v>
      </c>
      <c r="F103" s="114">
        <v>3.5</v>
      </c>
      <c r="G103" s="203">
        <f t="shared" si="14"/>
        <v>787.5</v>
      </c>
      <c r="H103" s="114">
        <v>14</v>
      </c>
      <c r="I103" s="203">
        <f t="shared" si="16"/>
        <v>-800</v>
      </c>
      <c r="J103" s="332">
        <v>0.02</v>
      </c>
      <c r="K103" s="127"/>
      <c r="L103" s="204">
        <f t="shared" si="17"/>
        <v>28000</v>
      </c>
      <c r="M103" s="204">
        <f t="shared" si="18"/>
        <v>15750</v>
      </c>
      <c r="N103" s="206">
        <f t="shared" si="15"/>
        <v>2</v>
      </c>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row>
    <row r="104" spans="2:41" ht="13" x14ac:dyDescent="0.3">
      <c r="B104" s="528"/>
      <c r="C104" s="114"/>
      <c r="D104" s="114"/>
      <c r="E104" s="181">
        <v>40801</v>
      </c>
      <c r="F104" s="114">
        <v>4</v>
      </c>
      <c r="G104" s="203">
        <f t="shared" si="14"/>
        <v>900</v>
      </c>
      <c r="H104" s="114">
        <v>12</v>
      </c>
      <c r="I104" s="203">
        <f t="shared" si="16"/>
        <v>-266.66666666666669</v>
      </c>
      <c r="J104" s="332">
        <v>0.02</v>
      </c>
      <c r="K104" s="127"/>
      <c r="L104" s="204">
        <f t="shared" si="17"/>
        <v>24000</v>
      </c>
      <c r="M104" s="204">
        <f t="shared" si="18"/>
        <v>18000</v>
      </c>
      <c r="N104" s="206">
        <f t="shared" si="15"/>
        <v>2</v>
      </c>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row>
    <row r="105" spans="2:41" ht="13" x14ac:dyDescent="0.3">
      <c r="B105" s="528"/>
      <c r="C105" s="114">
        <v>1</v>
      </c>
      <c r="D105" s="114"/>
      <c r="E105" s="181">
        <v>40817</v>
      </c>
      <c r="F105" s="114">
        <v>3</v>
      </c>
      <c r="G105" s="203">
        <f t="shared" si="14"/>
        <v>675</v>
      </c>
      <c r="H105" s="114">
        <v>10</v>
      </c>
      <c r="I105" s="203">
        <f t="shared" si="16"/>
        <v>-266.66666666666669</v>
      </c>
      <c r="J105" s="332">
        <v>0</v>
      </c>
      <c r="K105" s="127"/>
      <c r="L105" s="204">
        <f t="shared" si="17"/>
        <v>20000</v>
      </c>
      <c r="M105" s="204">
        <f t="shared" si="18"/>
        <v>13500</v>
      </c>
      <c r="N105" s="206">
        <f t="shared" si="15"/>
        <v>0</v>
      </c>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row>
    <row r="106" spans="2:41" ht="13" x14ac:dyDescent="0.3">
      <c r="B106" s="528"/>
      <c r="C106" s="114">
        <v>1</v>
      </c>
      <c r="D106" s="114"/>
      <c r="E106" s="181">
        <v>40831</v>
      </c>
      <c r="F106" s="114">
        <v>2</v>
      </c>
      <c r="G106" s="203">
        <f t="shared" si="14"/>
        <v>450</v>
      </c>
      <c r="H106" s="114">
        <v>9</v>
      </c>
      <c r="I106" s="203">
        <f t="shared" si="16"/>
        <v>-133.33333333333334</v>
      </c>
      <c r="J106" s="332">
        <v>0</v>
      </c>
      <c r="K106" s="127"/>
      <c r="L106" s="204">
        <f t="shared" si="17"/>
        <v>18000</v>
      </c>
      <c r="M106" s="204">
        <f t="shared" si="18"/>
        <v>9000</v>
      </c>
      <c r="N106" s="206">
        <f t="shared" si="15"/>
        <v>0</v>
      </c>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row>
    <row r="107" spans="2:41" ht="13" x14ac:dyDescent="0.3">
      <c r="B107" s="528"/>
      <c r="C107" s="114">
        <v>1</v>
      </c>
      <c r="D107" s="114"/>
      <c r="E107" s="181">
        <v>40848</v>
      </c>
      <c r="F107" s="114">
        <v>1</v>
      </c>
      <c r="G107" s="203">
        <f t="shared" si="14"/>
        <v>225</v>
      </c>
      <c r="H107" s="114">
        <v>8</v>
      </c>
      <c r="I107" s="203">
        <f t="shared" si="16"/>
        <v>-133.33333333333334</v>
      </c>
      <c r="J107" s="332">
        <v>0</v>
      </c>
      <c r="K107" s="127"/>
      <c r="L107" s="204">
        <f t="shared" si="17"/>
        <v>16000</v>
      </c>
      <c r="M107" s="204">
        <f t="shared" si="18"/>
        <v>4500</v>
      </c>
      <c r="N107" s="206">
        <f t="shared" si="15"/>
        <v>0</v>
      </c>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row>
    <row r="108" spans="2:41" ht="13" x14ac:dyDescent="0.3">
      <c r="B108" s="528"/>
      <c r="C108" s="114">
        <v>1</v>
      </c>
      <c r="D108" s="114"/>
      <c r="E108" s="181">
        <v>40862</v>
      </c>
      <c r="F108" s="114">
        <v>0</v>
      </c>
      <c r="G108" s="203">
        <f t="shared" si="14"/>
        <v>0</v>
      </c>
      <c r="H108" s="114">
        <v>7</v>
      </c>
      <c r="I108" s="203">
        <f t="shared" si="16"/>
        <v>-133.33333333333334</v>
      </c>
      <c r="J108" s="332">
        <v>0</v>
      </c>
      <c r="K108" s="127"/>
      <c r="L108" s="204">
        <f t="shared" si="17"/>
        <v>14000</v>
      </c>
      <c r="M108" s="204">
        <f t="shared" si="18"/>
        <v>0</v>
      </c>
      <c r="N108" s="206">
        <f t="shared" si="15"/>
        <v>0</v>
      </c>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row>
    <row r="109" spans="2:41" ht="13" x14ac:dyDescent="0.3">
      <c r="B109" s="528"/>
      <c r="C109" s="114">
        <v>1</v>
      </c>
      <c r="D109" s="114"/>
      <c r="E109" s="181">
        <v>40878</v>
      </c>
      <c r="F109" s="114">
        <v>0</v>
      </c>
      <c r="G109" s="203">
        <f t="shared" si="14"/>
        <v>0</v>
      </c>
      <c r="H109" s="114">
        <v>6</v>
      </c>
      <c r="I109" s="203">
        <f t="shared" si="16"/>
        <v>-133.33333333333334</v>
      </c>
      <c r="J109" s="332">
        <v>0</v>
      </c>
      <c r="K109" s="127"/>
      <c r="L109" s="204">
        <f t="shared" si="17"/>
        <v>12000</v>
      </c>
      <c r="M109" s="204">
        <f t="shared" si="18"/>
        <v>0</v>
      </c>
      <c r="N109" s="206">
        <f t="shared" si="15"/>
        <v>0</v>
      </c>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row>
    <row r="110" spans="2:41" ht="13" x14ac:dyDescent="0.3">
      <c r="B110" s="529"/>
      <c r="C110" s="114">
        <v>1</v>
      </c>
      <c r="D110" s="114"/>
      <c r="E110" s="181">
        <v>40892</v>
      </c>
      <c r="F110" s="114">
        <v>0</v>
      </c>
      <c r="G110" s="208">
        <f t="shared" si="14"/>
        <v>0</v>
      </c>
      <c r="H110" s="114">
        <v>6</v>
      </c>
      <c r="I110" s="203">
        <f t="shared" si="16"/>
        <v>0</v>
      </c>
      <c r="J110" s="332">
        <v>0</v>
      </c>
      <c r="K110" s="127"/>
      <c r="L110" s="204">
        <f t="shared" si="17"/>
        <v>12000</v>
      </c>
      <c r="M110" s="204">
        <f t="shared" si="18"/>
        <v>0</v>
      </c>
      <c r="N110" s="206">
        <f t="shared" si="15"/>
        <v>0</v>
      </c>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row>
    <row r="111" spans="2:41" x14ac:dyDescent="0.25">
      <c r="B111" s="127"/>
      <c r="E111" s="314">
        <v>43100</v>
      </c>
      <c r="F111" s="300">
        <f>F87</f>
        <v>0</v>
      </c>
      <c r="G111" s="300">
        <f t="shared" ref="G111:N111" si="19">G87</f>
        <v>0</v>
      </c>
      <c r="H111" s="300">
        <f t="shared" si="19"/>
        <v>0</v>
      </c>
      <c r="I111" s="300">
        <f t="shared" si="19"/>
        <v>0</v>
      </c>
      <c r="J111" s="334">
        <f t="shared" si="19"/>
        <v>0</v>
      </c>
      <c r="K111" s="300"/>
      <c r="L111" s="300">
        <f t="shared" si="19"/>
        <v>0</v>
      </c>
      <c r="M111" s="300">
        <f t="shared" si="19"/>
        <v>0</v>
      </c>
      <c r="N111" s="315">
        <f t="shared" si="19"/>
        <v>0</v>
      </c>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row>
    <row r="112" spans="2:41" x14ac:dyDescent="0.25">
      <c r="B112" s="127"/>
      <c r="E112" s="127"/>
      <c r="G112" s="127"/>
      <c r="I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2:41" x14ac:dyDescent="0.25">
      <c r="B113" s="127"/>
      <c r="E113" s="127"/>
      <c r="G113" s="127"/>
      <c r="I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row>
    <row r="114" spans="2:41" ht="187.5" x14ac:dyDescent="0.25">
      <c r="B114" s="194" t="s">
        <v>336</v>
      </c>
      <c r="C114" s="151" t="s">
        <v>45</v>
      </c>
      <c r="D114" s="151" t="s">
        <v>46</v>
      </c>
      <c r="E114" s="196" t="s">
        <v>38</v>
      </c>
      <c r="F114" s="154" t="s">
        <v>39</v>
      </c>
      <c r="G114" s="198" t="s">
        <v>84</v>
      </c>
      <c r="H114" s="155" t="s">
        <v>86</v>
      </c>
      <c r="I114" s="200" t="s">
        <v>85</v>
      </c>
      <c r="J114" s="336" t="s">
        <v>40</v>
      </c>
      <c r="K114" s="127"/>
      <c r="L114" s="199" t="s">
        <v>42</v>
      </c>
      <c r="M114" s="197" t="s">
        <v>43</v>
      </c>
      <c r="N114" s="201" t="s">
        <v>87</v>
      </c>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row>
    <row r="115" spans="2:41" ht="13" x14ac:dyDescent="0.3">
      <c r="B115" s="526"/>
      <c r="C115" s="114"/>
      <c r="D115" s="114">
        <v>1</v>
      </c>
      <c r="E115" s="181">
        <v>40544</v>
      </c>
      <c r="F115" s="114">
        <v>2</v>
      </c>
      <c r="G115" s="203">
        <f t="shared" ref="G115:G138" si="20">M115/20</f>
        <v>450</v>
      </c>
      <c r="H115" s="114">
        <v>7</v>
      </c>
      <c r="I115" s="204"/>
      <c r="J115" s="332">
        <v>0</v>
      </c>
      <c r="K115" s="127"/>
      <c r="L115" s="204">
        <f>H115*$M$2</f>
        <v>14000</v>
      </c>
      <c r="M115" s="204">
        <f>F115*$M$3</f>
        <v>9000</v>
      </c>
      <c r="N115" s="206">
        <f t="shared" ref="N115:N138" si="21">J115*100</f>
        <v>0</v>
      </c>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row>
    <row r="116" spans="2:41" ht="13" x14ac:dyDescent="0.3">
      <c r="B116" s="526"/>
      <c r="C116" s="114"/>
      <c r="D116" s="114">
        <v>1</v>
      </c>
      <c r="E116" s="181">
        <v>40558</v>
      </c>
      <c r="F116" s="114">
        <v>3</v>
      </c>
      <c r="G116" s="203">
        <f t="shared" si="20"/>
        <v>675</v>
      </c>
      <c r="H116" s="114">
        <v>7</v>
      </c>
      <c r="I116" s="203">
        <f t="shared" ref="I116:I138" si="22">(L116-L115)/15</f>
        <v>0</v>
      </c>
      <c r="J116" s="332">
        <v>0</v>
      </c>
      <c r="K116" s="127"/>
      <c r="L116" s="204">
        <f t="shared" ref="L116:L138" si="23">H116*$M$2</f>
        <v>14000</v>
      </c>
      <c r="M116" s="204">
        <f t="shared" ref="M116:M138" si="24">F116*$M$3</f>
        <v>13500</v>
      </c>
      <c r="N116" s="206">
        <f t="shared" si="21"/>
        <v>0</v>
      </c>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row>
    <row r="117" spans="2:41" ht="13" x14ac:dyDescent="0.3">
      <c r="B117" s="526"/>
      <c r="C117" s="114"/>
      <c r="D117" s="114">
        <v>1</v>
      </c>
      <c r="E117" s="181">
        <v>40575</v>
      </c>
      <c r="F117" s="114">
        <v>4</v>
      </c>
      <c r="G117" s="203">
        <f t="shared" si="20"/>
        <v>900</v>
      </c>
      <c r="H117" s="114">
        <v>10</v>
      </c>
      <c r="I117" s="203">
        <f t="shared" si="22"/>
        <v>400</v>
      </c>
      <c r="J117" s="332">
        <v>0</v>
      </c>
      <c r="K117" s="127"/>
      <c r="L117" s="204">
        <f t="shared" si="23"/>
        <v>20000</v>
      </c>
      <c r="M117" s="204">
        <f t="shared" si="24"/>
        <v>18000</v>
      </c>
      <c r="N117" s="206">
        <f t="shared" si="21"/>
        <v>0</v>
      </c>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row>
    <row r="118" spans="2:41" ht="13" x14ac:dyDescent="0.3">
      <c r="B118" s="526"/>
      <c r="C118" s="114"/>
      <c r="D118" s="114">
        <v>1</v>
      </c>
      <c r="E118" s="181">
        <v>40589</v>
      </c>
      <c r="F118" s="114">
        <v>5</v>
      </c>
      <c r="G118" s="203">
        <f t="shared" si="20"/>
        <v>1125</v>
      </c>
      <c r="H118" s="114">
        <v>12</v>
      </c>
      <c r="I118" s="203">
        <f t="shared" si="22"/>
        <v>266.66666666666669</v>
      </c>
      <c r="J118" s="332">
        <v>0</v>
      </c>
      <c r="K118" s="127"/>
      <c r="L118" s="204">
        <f t="shared" si="23"/>
        <v>24000</v>
      </c>
      <c r="M118" s="204">
        <f t="shared" si="24"/>
        <v>22500</v>
      </c>
      <c r="N118" s="206">
        <f t="shared" si="21"/>
        <v>0</v>
      </c>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row>
    <row r="119" spans="2:41" ht="13" x14ac:dyDescent="0.3">
      <c r="B119" s="526"/>
      <c r="C119" s="114"/>
      <c r="D119" s="114">
        <v>1</v>
      </c>
      <c r="E119" s="181">
        <v>40603</v>
      </c>
      <c r="F119" s="114">
        <v>7</v>
      </c>
      <c r="G119" s="203">
        <f t="shared" si="20"/>
        <v>1575</v>
      </c>
      <c r="H119" s="114">
        <v>12</v>
      </c>
      <c r="I119" s="203">
        <f t="shared" si="22"/>
        <v>0</v>
      </c>
      <c r="J119" s="332">
        <v>0</v>
      </c>
      <c r="K119" s="127"/>
      <c r="L119" s="204">
        <f t="shared" si="23"/>
        <v>24000</v>
      </c>
      <c r="M119" s="204">
        <f t="shared" si="24"/>
        <v>31500</v>
      </c>
      <c r="N119" s="206">
        <f t="shared" si="21"/>
        <v>0</v>
      </c>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row>
    <row r="120" spans="2:41" ht="13" x14ac:dyDescent="0.3">
      <c r="B120" s="526"/>
      <c r="C120" s="114"/>
      <c r="D120" s="114">
        <v>1</v>
      </c>
      <c r="E120" s="181">
        <v>40617</v>
      </c>
      <c r="F120" s="114">
        <v>7.5</v>
      </c>
      <c r="G120" s="203">
        <f t="shared" si="20"/>
        <v>1687.5</v>
      </c>
      <c r="H120" s="114">
        <v>14</v>
      </c>
      <c r="I120" s="203">
        <f t="shared" si="22"/>
        <v>266.66666666666669</v>
      </c>
      <c r="J120" s="332">
        <v>0.02</v>
      </c>
      <c r="K120" s="127"/>
      <c r="L120" s="204">
        <f t="shared" si="23"/>
        <v>28000</v>
      </c>
      <c r="M120" s="204">
        <f t="shared" si="24"/>
        <v>33750</v>
      </c>
      <c r="N120" s="206">
        <f t="shared" si="21"/>
        <v>2</v>
      </c>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row>
    <row r="121" spans="2:41" ht="13" x14ac:dyDescent="0.3">
      <c r="B121" s="526"/>
      <c r="C121" s="114"/>
      <c r="D121" s="114">
        <v>1</v>
      </c>
      <c r="E121" s="181">
        <v>40634</v>
      </c>
      <c r="F121" s="114">
        <v>8</v>
      </c>
      <c r="G121" s="203">
        <f t="shared" si="20"/>
        <v>1800</v>
      </c>
      <c r="H121" s="114">
        <v>16</v>
      </c>
      <c r="I121" s="203">
        <f t="shared" si="22"/>
        <v>266.66666666666669</v>
      </c>
      <c r="J121" s="332">
        <v>0.03</v>
      </c>
      <c r="K121" s="127"/>
      <c r="L121" s="204">
        <f t="shared" si="23"/>
        <v>32000</v>
      </c>
      <c r="M121" s="204">
        <f t="shared" si="24"/>
        <v>36000</v>
      </c>
      <c r="N121" s="206">
        <f t="shared" si="21"/>
        <v>3</v>
      </c>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row>
    <row r="122" spans="2:41" ht="13" x14ac:dyDescent="0.3">
      <c r="B122" s="526"/>
      <c r="C122" s="114"/>
      <c r="D122" s="114">
        <v>1</v>
      </c>
      <c r="E122" s="181">
        <v>40648</v>
      </c>
      <c r="F122" s="114">
        <v>7</v>
      </c>
      <c r="G122" s="203">
        <f t="shared" si="20"/>
        <v>1575</v>
      </c>
      <c r="H122" s="114">
        <v>18</v>
      </c>
      <c r="I122" s="203">
        <f t="shared" si="22"/>
        <v>266.66666666666669</v>
      </c>
      <c r="J122" s="332">
        <v>0.06</v>
      </c>
      <c r="K122" s="127"/>
      <c r="L122" s="204">
        <f t="shared" si="23"/>
        <v>36000</v>
      </c>
      <c r="M122" s="204">
        <f t="shared" si="24"/>
        <v>31500</v>
      </c>
      <c r="N122" s="206">
        <f t="shared" si="21"/>
        <v>6</v>
      </c>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row>
    <row r="123" spans="2:41" ht="13" x14ac:dyDescent="0.3">
      <c r="B123" s="526"/>
      <c r="C123" s="114"/>
      <c r="D123" s="114">
        <v>1</v>
      </c>
      <c r="E123" s="181">
        <v>40664</v>
      </c>
      <c r="F123" s="114">
        <v>6</v>
      </c>
      <c r="G123" s="203">
        <f t="shared" si="20"/>
        <v>1350</v>
      </c>
      <c r="H123" s="114">
        <v>18</v>
      </c>
      <c r="I123" s="203">
        <f t="shared" si="22"/>
        <v>0</v>
      </c>
      <c r="J123" s="332">
        <v>0.06</v>
      </c>
      <c r="K123" s="127"/>
      <c r="L123" s="204">
        <f t="shared" si="23"/>
        <v>36000</v>
      </c>
      <c r="M123" s="204">
        <f t="shared" si="24"/>
        <v>27000</v>
      </c>
      <c r="N123" s="206">
        <f t="shared" si="21"/>
        <v>6</v>
      </c>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row>
    <row r="124" spans="2:41" ht="13" x14ac:dyDescent="0.3">
      <c r="B124" s="526"/>
      <c r="C124" s="114"/>
      <c r="D124" s="114">
        <v>1</v>
      </c>
      <c r="E124" s="181">
        <v>40678</v>
      </c>
      <c r="F124" s="114">
        <v>6</v>
      </c>
      <c r="G124" s="203">
        <f t="shared" si="20"/>
        <v>1350</v>
      </c>
      <c r="H124" s="114">
        <v>16</v>
      </c>
      <c r="I124" s="203">
        <f t="shared" si="22"/>
        <v>-266.66666666666669</v>
      </c>
      <c r="J124" s="332">
        <v>0.06</v>
      </c>
      <c r="K124" s="127"/>
      <c r="L124" s="204">
        <f t="shared" si="23"/>
        <v>32000</v>
      </c>
      <c r="M124" s="204">
        <f t="shared" si="24"/>
        <v>27000</v>
      </c>
      <c r="N124" s="206">
        <f t="shared" si="21"/>
        <v>6</v>
      </c>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row>
    <row r="125" spans="2:41" ht="13" x14ac:dyDescent="0.3">
      <c r="B125" s="526"/>
      <c r="C125" s="114"/>
      <c r="D125" s="114">
        <v>1</v>
      </c>
      <c r="E125" s="181">
        <v>40695</v>
      </c>
      <c r="F125" s="114">
        <v>5</v>
      </c>
      <c r="G125" s="203">
        <f t="shared" si="20"/>
        <v>1125</v>
      </c>
      <c r="H125" s="114">
        <v>15</v>
      </c>
      <c r="I125" s="203">
        <f t="shared" si="22"/>
        <v>-133.33333333333334</v>
      </c>
      <c r="J125" s="332">
        <v>0.05</v>
      </c>
      <c r="K125" s="127"/>
      <c r="L125" s="204">
        <f t="shared" si="23"/>
        <v>30000</v>
      </c>
      <c r="M125" s="204">
        <f t="shared" si="24"/>
        <v>22500</v>
      </c>
      <c r="N125" s="206">
        <f t="shared" si="21"/>
        <v>5</v>
      </c>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row>
    <row r="126" spans="2:41" ht="13" x14ac:dyDescent="0.3">
      <c r="B126" s="526"/>
      <c r="C126" s="114"/>
      <c r="D126" s="114">
        <v>1</v>
      </c>
      <c r="E126" s="181">
        <v>40709</v>
      </c>
      <c r="F126" s="114">
        <v>4</v>
      </c>
      <c r="G126" s="203">
        <f t="shared" si="20"/>
        <v>900</v>
      </c>
      <c r="H126" s="114">
        <v>14</v>
      </c>
      <c r="I126" s="203">
        <f t="shared" si="22"/>
        <v>-133.33333333333334</v>
      </c>
      <c r="J126" s="332">
        <v>0.05</v>
      </c>
      <c r="K126" s="127"/>
      <c r="L126" s="204">
        <f t="shared" si="23"/>
        <v>28000</v>
      </c>
      <c r="M126" s="204">
        <f t="shared" si="24"/>
        <v>18000</v>
      </c>
      <c r="N126" s="206">
        <f t="shared" si="21"/>
        <v>5</v>
      </c>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row>
    <row r="127" spans="2:41" ht="13" x14ac:dyDescent="0.3">
      <c r="B127" s="526"/>
      <c r="C127" s="114"/>
      <c r="D127" s="114">
        <v>1</v>
      </c>
      <c r="E127" s="181">
        <v>40725</v>
      </c>
      <c r="F127" s="114">
        <v>4</v>
      </c>
      <c r="G127" s="203">
        <f t="shared" si="20"/>
        <v>900</v>
      </c>
      <c r="H127" s="114">
        <v>13</v>
      </c>
      <c r="I127" s="203">
        <f t="shared" si="22"/>
        <v>-133.33333333333334</v>
      </c>
      <c r="J127" s="332">
        <v>0.05</v>
      </c>
      <c r="K127" s="127"/>
      <c r="L127" s="204">
        <f t="shared" si="23"/>
        <v>26000</v>
      </c>
      <c r="M127" s="204">
        <f t="shared" si="24"/>
        <v>18000</v>
      </c>
      <c r="N127" s="206">
        <f t="shared" si="21"/>
        <v>5</v>
      </c>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row>
    <row r="128" spans="2:41" ht="13" x14ac:dyDescent="0.3">
      <c r="B128" s="526"/>
      <c r="C128" s="114"/>
      <c r="D128" s="114">
        <v>1</v>
      </c>
      <c r="E128" s="181">
        <v>40739</v>
      </c>
      <c r="F128" s="114">
        <v>3</v>
      </c>
      <c r="G128" s="203">
        <f t="shared" si="20"/>
        <v>675</v>
      </c>
      <c r="H128" s="114">
        <v>12</v>
      </c>
      <c r="I128" s="203">
        <f t="shared" si="22"/>
        <v>-133.33333333333334</v>
      </c>
      <c r="J128" s="332">
        <v>0.05</v>
      </c>
      <c r="K128" s="127"/>
      <c r="L128" s="204">
        <f t="shared" si="23"/>
        <v>24000</v>
      </c>
      <c r="M128" s="204">
        <f t="shared" si="24"/>
        <v>13500</v>
      </c>
      <c r="N128" s="206">
        <f t="shared" si="21"/>
        <v>5</v>
      </c>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row>
    <row r="129" spans="2:41" ht="13" x14ac:dyDescent="0.3">
      <c r="B129" s="526"/>
      <c r="C129" s="114"/>
      <c r="D129" s="114">
        <v>1</v>
      </c>
      <c r="E129" s="181">
        <v>40756</v>
      </c>
      <c r="F129" s="114">
        <v>2</v>
      </c>
      <c r="G129" s="203">
        <f t="shared" si="20"/>
        <v>450</v>
      </c>
      <c r="H129" s="114">
        <v>10</v>
      </c>
      <c r="I129" s="203">
        <f t="shared" si="22"/>
        <v>-266.66666666666669</v>
      </c>
      <c r="J129" s="332">
        <v>0.05</v>
      </c>
      <c r="K129" s="127"/>
      <c r="L129" s="204">
        <f t="shared" si="23"/>
        <v>20000</v>
      </c>
      <c r="M129" s="204">
        <f t="shared" si="24"/>
        <v>9000</v>
      </c>
      <c r="N129" s="206">
        <f t="shared" si="21"/>
        <v>5</v>
      </c>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row>
    <row r="130" spans="2:41" ht="13" x14ac:dyDescent="0.3">
      <c r="B130" s="526"/>
      <c r="C130" s="114">
        <v>1</v>
      </c>
      <c r="D130" s="114">
        <v>1</v>
      </c>
      <c r="E130" s="181">
        <v>40770</v>
      </c>
      <c r="F130" s="114">
        <v>2</v>
      </c>
      <c r="G130" s="203">
        <f t="shared" si="20"/>
        <v>450</v>
      </c>
      <c r="H130" s="114">
        <v>8</v>
      </c>
      <c r="I130" s="203">
        <f t="shared" si="22"/>
        <v>-266.66666666666669</v>
      </c>
      <c r="J130" s="332">
        <v>0.05</v>
      </c>
      <c r="K130" s="127"/>
      <c r="L130" s="204">
        <f t="shared" si="23"/>
        <v>16000</v>
      </c>
      <c r="M130" s="204">
        <f t="shared" si="24"/>
        <v>9000</v>
      </c>
      <c r="N130" s="206">
        <f t="shared" si="21"/>
        <v>5</v>
      </c>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row>
    <row r="131" spans="2:41" ht="13" x14ac:dyDescent="0.3">
      <c r="B131" s="526"/>
      <c r="C131" s="114">
        <v>1</v>
      </c>
      <c r="D131" s="114">
        <v>1</v>
      </c>
      <c r="E131" s="181">
        <v>40787</v>
      </c>
      <c r="F131" s="114">
        <v>2</v>
      </c>
      <c r="G131" s="203">
        <f t="shared" si="20"/>
        <v>450</v>
      </c>
      <c r="H131" s="114">
        <v>7</v>
      </c>
      <c r="I131" s="203">
        <f t="shared" si="22"/>
        <v>-133.33333333333334</v>
      </c>
      <c r="J131" s="332">
        <v>0.02</v>
      </c>
      <c r="K131" s="127"/>
      <c r="L131" s="204">
        <f t="shared" si="23"/>
        <v>14000</v>
      </c>
      <c r="M131" s="204">
        <f t="shared" si="24"/>
        <v>9000</v>
      </c>
      <c r="N131" s="206">
        <f t="shared" si="21"/>
        <v>2</v>
      </c>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row>
    <row r="132" spans="2:41" ht="13" x14ac:dyDescent="0.3">
      <c r="B132" s="526"/>
      <c r="C132" s="114">
        <v>1</v>
      </c>
      <c r="D132" s="114">
        <v>1</v>
      </c>
      <c r="E132" s="181">
        <v>40801</v>
      </c>
      <c r="F132" s="114">
        <v>4</v>
      </c>
      <c r="G132" s="203">
        <f t="shared" si="20"/>
        <v>900</v>
      </c>
      <c r="H132" s="114">
        <v>7.5</v>
      </c>
      <c r="I132" s="203">
        <f t="shared" si="22"/>
        <v>66.666666666666671</v>
      </c>
      <c r="J132" s="332">
        <v>0.02</v>
      </c>
      <c r="K132" s="127"/>
      <c r="L132" s="204">
        <f t="shared" si="23"/>
        <v>15000</v>
      </c>
      <c r="M132" s="204">
        <f t="shared" si="24"/>
        <v>18000</v>
      </c>
      <c r="N132" s="206">
        <f t="shared" si="21"/>
        <v>2</v>
      </c>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row>
    <row r="133" spans="2:41" ht="13" x14ac:dyDescent="0.3">
      <c r="B133" s="526"/>
      <c r="C133" s="114"/>
      <c r="D133" s="114">
        <v>1</v>
      </c>
      <c r="E133" s="181">
        <v>40817</v>
      </c>
      <c r="F133" s="114">
        <v>4</v>
      </c>
      <c r="G133" s="203">
        <f t="shared" si="20"/>
        <v>900</v>
      </c>
      <c r="H133" s="114">
        <v>8</v>
      </c>
      <c r="I133" s="203">
        <f t="shared" si="22"/>
        <v>66.666666666666671</v>
      </c>
      <c r="J133" s="332">
        <v>0</v>
      </c>
      <c r="K133" s="127"/>
      <c r="L133" s="204">
        <f t="shared" si="23"/>
        <v>16000</v>
      </c>
      <c r="M133" s="204">
        <f t="shared" si="24"/>
        <v>18000</v>
      </c>
      <c r="N133" s="206">
        <f t="shared" si="21"/>
        <v>0</v>
      </c>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row>
    <row r="134" spans="2:41" ht="13" x14ac:dyDescent="0.3">
      <c r="B134" s="526"/>
      <c r="C134" s="114"/>
      <c r="D134" s="114">
        <v>1</v>
      </c>
      <c r="E134" s="181">
        <v>40831</v>
      </c>
      <c r="F134" s="114">
        <v>3</v>
      </c>
      <c r="G134" s="203">
        <f t="shared" si="20"/>
        <v>675</v>
      </c>
      <c r="H134" s="114">
        <v>10</v>
      </c>
      <c r="I134" s="203">
        <f t="shared" si="22"/>
        <v>266.66666666666669</v>
      </c>
      <c r="J134" s="332">
        <v>0</v>
      </c>
      <c r="K134" s="127"/>
      <c r="L134" s="204">
        <f t="shared" si="23"/>
        <v>20000</v>
      </c>
      <c r="M134" s="204">
        <f t="shared" si="24"/>
        <v>13500</v>
      </c>
      <c r="N134" s="206">
        <f t="shared" si="21"/>
        <v>0</v>
      </c>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row>
    <row r="135" spans="2:41" ht="13" x14ac:dyDescent="0.3">
      <c r="B135" s="526"/>
      <c r="C135" s="114"/>
      <c r="D135" s="114"/>
      <c r="E135" s="181">
        <v>40848</v>
      </c>
      <c r="F135" s="114">
        <v>2</v>
      </c>
      <c r="G135" s="203">
        <f t="shared" si="20"/>
        <v>450</v>
      </c>
      <c r="H135" s="114">
        <v>10</v>
      </c>
      <c r="I135" s="203">
        <f t="shared" si="22"/>
        <v>0</v>
      </c>
      <c r="J135" s="332">
        <v>0</v>
      </c>
      <c r="K135" s="127"/>
      <c r="L135" s="204">
        <f t="shared" si="23"/>
        <v>20000</v>
      </c>
      <c r="M135" s="204">
        <f t="shared" si="24"/>
        <v>9000</v>
      </c>
      <c r="N135" s="206">
        <f t="shared" si="21"/>
        <v>0</v>
      </c>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row>
    <row r="136" spans="2:41" ht="13" x14ac:dyDescent="0.3">
      <c r="B136" s="526"/>
      <c r="C136" s="114"/>
      <c r="D136" s="114"/>
      <c r="E136" s="181">
        <v>40862</v>
      </c>
      <c r="F136" s="114">
        <v>2</v>
      </c>
      <c r="G136" s="203">
        <f t="shared" si="20"/>
        <v>450</v>
      </c>
      <c r="H136" s="114">
        <v>9</v>
      </c>
      <c r="I136" s="203">
        <f t="shared" si="22"/>
        <v>-133.33333333333334</v>
      </c>
      <c r="J136" s="332">
        <v>0</v>
      </c>
      <c r="K136" s="127"/>
      <c r="L136" s="204">
        <f t="shared" si="23"/>
        <v>18000</v>
      </c>
      <c r="M136" s="204">
        <f t="shared" si="24"/>
        <v>9000</v>
      </c>
      <c r="N136" s="206">
        <f t="shared" si="21"/>
        <v>0</v>
      </c>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row>
    <row r="137" spans="2:41" ht="13" x14ac:dyDescent="0.3">
      <c r="B137" s="526"/>
      <c r="C137" s="114"/>
      <c r="D137" s="114"/>
      <c r="E137" s="181">
        <v>40878</v>
      </c>
      <c r="F137" s="114">
        <v>2</v>
      </c>
      <c r="G137" s="203">
        <f t="shared" si="20"/>
        <v>450</v>
      </c>
      <c r="H137" s="114">
        <v>8</v>
      </c>
      <c r="I137" s="203">
        <f t="shared" si="22"/>
        <v>-133.33333333333334</v>
      </c>
      <c r="J137" s="332">
        <v>0</v>
      </c>
      <c r="K137" s="127"/>
      <c r="L137" s="204">
        <f t="shared" si="23"/>
        <v>16000</v>
      </c>
      <c r="M137" s="204">
        <f t="shared" si="24"/>
        <v>9000</v>
      </c>
      <c r="N137" s="206">
        <f t="shared" si="21"/>
        <v>0</v>
      </c>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row>
    <row r="138" spans="2:41" ht="13" x14ac:dyDescent="0.3">
      <c r="B138" s="526"/>
      <c r="C138" s="114"/>
      <c r="D138" s="114"/>
      <c r="E138" s="181">
        <v>40892</v>
      </c>
      <c r="F138" s="114">
        <v>2</v>
      </c>
      <c r="G138" s="208">
        <f t="shared" si="20"/>
        <v>450</v>
      </c>
      <c r="H138" s="114">
        <v>7</v>
      </c>
      <c r="I138" s="203">
        <f t="shared" si="22"/>
        <v>-133.33333333333334</v>
      </c>
      <c r="J138" s="332">
        <v>0</v>
      </c>
      <c r="K138" s="127"/>
      <c r="L138" s="204">
        <f t="shared" si="23"/>
        <v>14000</v>
      </c>
      <c r="M138" s="204">
        <f t="shared" si="24"/>
        <v>9000</v>
      </c>
      <c r="N138" s="206">
        <f t="shared" si="21"/>
        <v>0</v>
      </c>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row>
    <row r="139" spans="2:41" x14ac:dyDescent="0.25">
      <c r="B139" s="127"/>
      <c r="E139" s="314">
        <v>43100</v>
      </c>
      <c r="F139" s="300">
        <f>F115</f>
        <v>2</v>
      </c>
      <c r="G139" s="343"/>
      <c r="H139" s="343">
        <f t="shared" ref="H139:N139" si="25">H115</f>
        <v>7</v>
      </c>
      <c r="I139" s="343"/>
      <c r="J139" s="343">
        <f t="shared" si="25"/>
        <v>0</v>
      </c>
      <c r="K139" s="343">
        <f t="shared" si="25"/>
        <v>0</v>
      </c>
      <c r="L139" s="343">
        <f>H139*$M$2</f>
        <v>14000</v>
      </c>
      <c r="M139" s="343">
        <f>F139*$M$3</f>
        <v>9000</v>
      </c>
      <c r="N139" s="343">
        <f t="shared" si="25"/>
        <v>0</v>
      </c>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row>
    <row r="140" spans="2:41" x14ac:dyDescent="0.25">
      <c r="B140" s="127"/>
      <c r="E140" s="127"/>
      <c r="G140" s="127"/>
      <c r="I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row>
    <row r="141" spans="2:41" x14ac:dyDescent="0.25">
      <c r="B141" s="127"/>
      <c r="D141" s="150"/>
      <c r="E141" s="127"/>
      <c r="G141" s="127"/>
      <c r="I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row>
    <row r="142" spans="2:41" ht="187.5" x14ac:dyDescent="0.25">
      <c r="B142" s="194" t="s">
        <v>161</v>
      </c>
      <c r="C142" s="151" t="s">
        <v>45</v>
      </c>
      <c r="D142" s="151" t="s">
        <v>46</v>
      </c>
      <c r="E142" s="196" t="s">
        <v>38</v>
      </c>
      <c r="F142" s="154" t="s">
        <v>39</v>
      </c>
      <c r="G142" s="198" t="s">
        <v>84</v>
      </c>
      <c r="H142" s="155" t="s">
        <v>86</v>
      </c>
      <c r="I142" s="200" t="s">
        <v>85</v>
      </c>
      <c r="J142" s="336" t="s">
        <v>40</v>
      </c>
      <c r="K142" s="127"/>
      <c r="L142" s="199" t="s">
        <v>42</v>
      </c>
      <c r="M142" s="197" t="s">
        <v>43</v>
      </c>
      <c r="N142" s="201" t="s">
        <v>87</v>
      </c>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row>
    <row r="143" spans="2:41" ht="13" x14ac:dyDescent="0.3">
      <c r="B143" s="526"/>
      <c r="C143" s="114">
        <v>1</v>
      </c>
      <c r="D143" s="114"/>
      <c r="E143" s="181">
        <v>40544</v>
      </c>
      <c r="F143" s="114">
        <v>4.2999999999999997E-2</v>
      </c>
      <c r="G143" s="203">
        <f t="shared" ref="G143:G166" si="26">M143/20</f>
        <v>9.6749999999999989</v>
      </c>
      <c r="H143" s="114">
        <v>8</v>
      </c>
      <c r="I143" s="204"/>
      <c r="J143" s="332">
        <v>0</v>
      </c>
      <c r="K143" s="127"/>
      <c r="L143" s="204">
        <f>H143*$M$2</f>
        <v>16000</v>
      </c>
      <c r="M143" s="204">
        <f>F143*$M$3</f>
        <v>193.49999999999997</v>
      </c>
      <c r="N143" s="206">
        <f t="shared" ref="N143:N166" si="27">J143*100</f>
        <v>0</v>
      </c>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row>
    <row r="144" spans="2:41" ht="13" x14ac:dyDescent="0.3">
      <c r="B144" s="526"/>
      <c r="C144" s="114">
        <v>1</v>
      </c>
      <c r="D144" s="114"/>
      <c r="E144" s="181">
        <v>40558</v>
      </c>
      <c r="F144" s="114">
        <v>4.2999999999999997E-2</v>
      </c>
      <c r="G144" s="203">
        <f t="shared" si="26"/>
        <v>9.6749999999999989</v>
      </c>
      <c r="H144" s="114">
        <v>8</v>
      </c>
      <c r="I144" s="203">
        <f t="shared" ref="I144:I166" si="28">(L144-L143)/15</f>
        <v>0</v>
      </c>
      <c r="J144" s="332">
        <v>0</v>
      </c>
      <c r="K144" s="127"/>
      <c r="L144" s="204">
        <f t="shared" ref="L144:L166" si="29">H144*$M$2</f>
        <v>16000</v>
      </c>
      <c r="M144" s="204">
        <f t="shared" ref="M144:M166" si="30">F144*$M$3</f>
        <v>193.49999999999997</v>
      </c>
      <c r="N144" s="206">
        <f t="shared" si="27"/>
        <v>0</v>
      </c>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row>
    <row r="145" spans="2:41" ht="13" x14ac:dyDescent="0.3">
      <c r="B145" s="526"/>
      <c r="C145" s="114">
        <v>1</v>
      </c>
      <c r="D145" s="114"/>
      <c r="E145" s="181">
        <v>40575</v>
      </c>
      <c r="F145" s="114">
        <v>4.2999999999999997E-2</v>
      </c>
      <c r="G145" s="203">
        <f t="shared" si="26"/>
        <v>9.6749999999999989</v>
      </c>
      <c r="H145" s="114">
        <v>8</v>
      </c>
      <c r="I145" s="203">
        <f t="shared" si="28"/>
        <v>0</v>
      </c>
      <c r="J145" s="332">
        <v>0</v>
      </c>
      <c r="K145" s="127"/>
      <c r="L145" s="204">
        <f t="shared" si="29"/>
        <v>16000</v>
      </c>
      <c r="M145" s="204">
        <f t="shared" si="30"/>
        <v>193.49999999999997</v>
      </c>
      <c r="N145" s="206">
        <f t="shared" si="27"/>
        <v>0</v>
      </c>
      <c r="O145" s="127"/>
      <c r="P145" s="127"/>
      <c r="Q145" s="127"/>
      <c r="R145" s="127"/>
      <c r="S145" s="20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row>
    <row r="146" spans="2:41" ht="13" x14ac:dyDescent="0.3">
      <c r="B146" s="526"/>
      <c r="C146" s="114">
        <v>1</v>
      </c>
      <c r="D146" s="114"/>
      <c r="E146" s="181">
        <v>40589</v>
      </c>
      <c r="F146" s="114">
        <v>4.2999999999999997E-2</v>
      </c>
      <c r="G146" s="203">
        <f t="shared" si="26"/>
        <v>9.6749999999999989</v>
      </c>
      <c r="H146" s="114">
        <v>8</v>
      </c>
      <c r="I146" s="203">
        <f t="shared" si="28"/>
        <v>0</v>
      </c>
      <c r="J146" s="332">
        <v>0</v>
      </c>
      <c r="K146" s="127"/>
      <c r="L146" s="204">
        <f t="shared" si="29"/>
        <v>16000</v>
      </c>
      <c r="M146" s="204">
        <f t="shared" si="30"/>
        <v>193.49999999999997</v>
      </c>
      <c r="N146" s="206">
        <f t="shared" si="27"/>
        <v>0</v>
      </c>
      <c r="O146" s="127"/>
      <c r="P146" s="127"/>
      <c r="Q146" s="127"/>
      <c r="R146" s="127"/>
      <c r="S146" s="20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row>
    <row r="147" spans="2:41" ht="13" x14ac:dyDescent="0.3">
      <c r="B147" s="526"/>
      <c r="C147" s="114">
        <v>1</v>
      </c>
      <c r="D147" s="114"/>
      <c r="E147" s="181">
        <v>40603</v>
      </c>
      <c r="F147" s="114">
        <v>4.2999999999999997E-2</v>
      </c>
      <c r="G147" s="203">
        <f t="shared" si="26"/>
        <v>9.6749999999999989</v>
      </c>
      <c r="H147" s="114">
        <v>7</v>
      </c>
      <c r="I147" s="203">
        <f t="shared" si="28"/>
        <v>-133.33333333333334</v>
      </c>
      <c r="J147" s="332">
        <v>0</v>
      </c>
      <c r="K147" s="127"/>
      <c r="L147" s="204">
        <f t="shared" si="29"/>
        <v>14000</v>
      </c>
      <c r="M147" s="204">
        <f t="shared" si="30"/>
        <v>193.49999999999997</v>
      </c>
      <c r="N147" s="206">
        <f t="shared" si="27"/>
        <v>0</v>
      </c>
      <c r="O147" s="127"/>
      <c r="P147" s="127"/>
      <c r="Q147" s="127"/>
      <c r="R147" s="127"/>
      <c r="S147" s="20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row>
    <row r="148" spans="2:41" ht="13" x14ac:dyDescent="0.3">
      <c r="B148" s="526"/>
      <c r="C148" s="114">
        <v>1</v>
      </c>
      <c r="D148" s="114"/>
      <c r="E148" s="181">
        <v>40617</v>
      </c>
      <c r="F148" s="114">
        <v>0.5</v>
      </c>
      <c r="G148" s="203">
        <f t="shared" si="26"/>
        <v>112.5</v>
      </c>
      <c r="H148" s="114">
        <v>6</v>
      </c>
      <c r="I148" s="203">
        <f t="shared" si="28"/>
        <v>-133.33333333333334</v>
      </c>
      <c r="J148" s="332">
        <v>0.02</v>
      </c>
      <c r="K148" s="127"/>
      <c r="L148" s="204">
        <f t="shared" si="29"/>
        <v>12000</v>
      </c>
      <c r="M148" s="204">
        <f t="shared" si="30"/>
        <v>2250</v>
      </c>
      <c r="N148" s="206">
        <f t="shared" si="27"/>
        <v>2</v>
      </c>
      <c r="O148" s="127"/>
      <c r="P148" s="127"/>
      <c r="Q148" s="127"/>
      <c r="R148" s="127"/>
      <c r="S148" s="20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row>
    <row r="149" spans="2:41" ht="13" x14ac:dyDescent="0.3">
      <c r="B149" s="526"/>
      <c r="C149" s="114"/>
      <c r="D149" s="114">
        <v>1</v>
      </c>
      <c r="E149" s="181">
        <v>40634</v>
      </c>
      <c r="F149" s="114">
        <v>1</v>
      </c>
      <c r="G149" s="203">
        <f t="shared" si="26"/>
        <v>225</v>
      </c>
      <c r="H149" s="114">
        <v>6</v>
      </c>
      <c r="I149" s="203">
        <f t="shared" si="28"/>
        <v>0</v>
      </c>
      <c r="J149" s="332">
        <v>0.03</v>
      </c>
      <c r="K149" s="127"/>
      <c r="L149" s="204">
        <f t="shared" si="29"/>
        <v>12000</v>
      </c>
      <c r="M149" s="204">
        <f t="shared" si="30"/>
        <v>4500</v>
      </c>
      <c r="N149" s="206">
        <f t="shared" si="27"/>
        <v>3</v>
      </c>
      <c r="O149" s="127"/>
      <c r="P149" s="127"/>
      <c r="Q149" s="127"/>
      <c r="R149" s="127"/>
      <c r="S149" s="20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row>
    <row r="150" spans="2:41" ht="13" x14ac:dyDescent="0.3">
      <c r="B150" s="526"/>
      <c r="C150" s="114"/>
      <c r="D150" s="114">
        <v>1</v>
      </c>
      <c r="E150" s="181">
        <v>40648</v>
      </c>
      <c r="F150" s="114">
        <v>5</v>
      </c>
      <c r="G150" s="203">
        <f t="shared" si="26"/>
        <v>1125</v>
      </c>
      <c r="H150" s="114">
        <v>6</v>
      </c>
      <c r="I150" s="203">
        <f t="shared" si="28"/>
        <v>0</v>
      </c>
      <c r="J150" s="332">
        <v>0.06</v>
      </c>
      <c r="K150" s="127"/>
      <c r="L150" s="204">
        <f t="shared" si="29"/>
        <v>12000</v>
      </c>
      <c r="M150" s="204">
        <f t="shared" si="30"/>
        <v>22500</v>
      </c>
      <c r="N150" s="206">
        <f t="shared" si="27"/>
        <v>6</v>
      </c>
      <c r="O150" s="127"/>
      <c r="P150" s="127"/>
      <c r="Q150" s="127"/>
      <c r="R150" s="127"/>
      <c r="S150" s="20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row>
    <row r="151" spans="2:41" ht="13" x14ac:dyDescent="0.3">
      <c r="B151" s="526"/>
      <c r="C151" s="114"/>
      <c r="D151" s="114">
        <v>1</v>
      </c>
      <c r="E151" s="181">
        <v>40664</v>
      </c>
      <c r="F151" s="114">
        <v>7</v>
      </c>
      <c r="G151" s="203">
        <f t="shared" si="26"/>
        <v>1575</v>
      </c>
      <c r="H151" s="114">
        <v>10</v>
      </c>
      <c r="I151" s="203">
        <f t="shared" si="28"/>
        <v>533.33333333333337</v>
      </c>
      <c r="J151" s="332">
        <v>0.1</v>
      </c>
      <c r="K151" s="127"/>
      <c r="L151" s="204">
        <f t="shared" si="29"/>
        <v>20000</v>
      </c>
      <c r="M151" s="204">
        <f t="shared" si="30"/>
        <v>31500</v>
      </c>
      <c r="N151" s="206">
        <f t="shared" si="27"/>
        <v>10</v>
      </c>
      <c r="O151" s="127"/>
      <c r="P151" s="127"/>
      <c r="Q151" s="127"/>
      <c r="R151" s="127"/>
      <c r="S151" s="20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row>
    <row r="152" spans="2:41" ht="13" x14ac:dyDescent="0.3">
      <c r="B152" s="526"/>
      <c r="C152" s="114"/>
      <c r="D152" s="114">
        <v>1</v>
      </c>
      <c r="E152" s="181">
        <v>40678</v>
      </c>
      <c r="F152" s="114">
        <v>7</v>
      </c>
      <c r="G152" s="203">
        <f t="shared" si="26"/>
        <v>1575</v>
      </c>
      <c r="H152" s="114">
        <v>14</v>
      </c>
      <c r="I152" s="203">
        <f t="shared" si="28"/>
        <v>533.33333333333337</v>
      </c>
      <c r="J152" s="332">
        <v>0.1</v>
      </c>
      <c r="K152" s="127"/>
      <c r="L152" s="204">
        <f t="shared" si="29"/>
        <v>28000</v>
      </c>
      <c r="M152" s="204">
        <f t="shared" si="30"/>
        <v>31500</v>
      </c>
      <c r="N152" s="206">
        <f t="shared" si="27"/>
        <v>10</v>
      </c>
      <c r="O152" s="127"/>
      <c r="P152" s="127"/>
      <c r="Q152" s="127"/>
      <c r="R152" s="127"/>
      <c r="S152" s="20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row>
    <row r="153" spans="2:41" ht="13" x14ac:dyDescent="0.3">
      <c r="B153" s="526"/>
      <c r="C153" s="114"/>
      <c r="D153" s="114">
        <v>1</v>
      </c>
      <c r="E153" s="181">
        <v>40695</v>
      </c>
      <c r="F153" s="114">
        <v>8</v>
      </c>
      <c r="G153" s="203">
        <f t="shared" si="26"/>
        <v>1800</v>
      </c>
      <c r="H153" s="114">
        <v>20</v>
      </c>
      <c r="I153" s="203">
        <f t="shared" si="28"/>
        <v>800</v>
      </c>
      <c r="J153" s="332">
        <v>0.05</v>
      </c>
      <c r="K153" s="127"/>
      <c r="L153" s="204">
        <f t="shared" si="29"/>
        <v>40000</v>
      </c>
      <c r="M153" s="204">
        <f t="shared" si="30"/>
        <v>36000</v>
      </c>
      <c r="N153" s="206">
        <f t="shared" si="27"/>
        <v>5</v>
      </c>
      <c r="O153" s="127"/>
      <c r="P153" s="127"/>
      <c r="Q153" s="127"/>
      <c r="R153" s="127"/>
      <c r="S153" s="20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row>
    <row r="154" spans="2:41" ht="13" x14ac:dyDescent="0.3">
      <c r="B154" s="526"/>
      <c r="C154" s="114"/>
      <c r="D154" s="114">
        <v>1</v>
      </c>
      <c r="E154" s="181">
        <v>40709</v>
      </c>
      <c r="F154" s="114">
        <v>8</v>
      </c>
      <c r="G154" s="203">
        <f t="shared" si="26"/>
        <v>1800</v>
      </c>
      <c r="H154" s="114">
        <v>24</v>
      </c>
      <c r="I154" s="203">
        <f t="shared" si="28"/>
        <v>533.33333333333337</v>
      </c>
      <c r="J154" s="332">
        <v>0.05</v>
      </c>
      <c r="K154" s="127"/>
      <c r="L154" s="204">
        <f t="shared" si="29"/>
        <v>48000</v>
      </c>
      <c r="M154" s="204">
        <f t="shared" si="30"/>
        <v>36000</v>
      </c>
      <c r="N154" s="206">
        <f t="shared" si="27"/>
        <v>5</v>
      </c>
      <c r="O154" s="127"/>
      <c r="P154" s="127"/>
      <c r="Q154" s="127"/>
      <c r="R154" s="127"/>
      <c r="S154" s="20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row>
    <row r="155" spans="2:41" ht="13" x14ac:dyDescent="0.3">
      <c r="B155" s="526"/>
      <c r="C155" s="114"/>
      <c r="D155" s="114">
        <v>1</v>
      </c>
      <c r="E155" s="181">
        <v>40725</v>
      </c>
      <c r="F155" s="114">
        <v>6</v>
      </c>
      <c r="G155" s="203">
        <f t="shared" si="26"/>
        <v>1350</v>
      </c>
      <c r="H155" s="114">
        <v>26</v>
      </c>
      <c r="I155" s="203">
        <f t="shared" si="28"/>
        <v>266.66666666666669</v>
      </c>
      <c r="J155" s="332">
        <v>0.05</v>
      </c>
      <c r="K155" s="127"/>
      <c r="L155" s="204">
        <f t="shared" si="29"/>
        <v>52000</v>
      </c>
      <c r="M155" s="204">
        <f t="shared" si="30"/>
        <v>27000</v>
      </c>
      <c r="N155" s="206">
        <f t="shared" si="27"/>
        <v>5</v>
      </c>
      <c r="O155" s="127"/>
      <c r="P155" s="127"/>
      <c r="Q155" s="127"/>
      <c r="R155" s="127"/>
      <c r="S155" s="20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row>
    <row r="156" spans="2:41" ht="13" x14ac:dyDescent="0.3">
      <c r="B156" s="526"/>
      <c r="C156" s="114"/>
      <c r="D156" s="114">
        <v>1</v>
      </c>
      <c r="E156" s="181">
        <v>40739</v>
      </c>
      <c r="F156" s="114">
        <v>5</v>
      </c>
      <c r="G156" s="203">
        <f t="shared" si="26"/>
        <v>1125</v>
      </c>
      <c r="H156" s="114">
        <v>26</v>
      </c>
      <c r="I156" s="203">
        <f t="shared" si="28"/>
        <v>0</v>
      </c>
      <c r="J156" s="332">
        <v>0.05</v>
      </c>
      <c r="K156" s="127"/>
      <c r="L156" s="204">
        <f t="shared" si="29"/>
        <v>52000</v>
      </c>
      <c r="M156" s="204">
        <f t="shared" si="30"/>
        <v>22500</v>
      </c>
      <c r="N156" s="206">
        <f t="shared" si="27"/>
        <v>5</v>
      </c>
      <c r="O156" s="127"/>
      <c r="P156" s="127"/>
      <c r="Q156" s="127"/>
      <c r="R156" s="127"/>
      <c r="S156" s="20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row>
    <row r="157" spans="2:41" ht="13" x14ac:dyDescent="0.3">
      <c r="B157" s="526"/>
      <c r="C157" s="114"/>
      <c r="D157" s="114">
        <v>1</v>
      </c>
      <c r="E157" s="181">
        <v>40756</v>
      </c>
      <c r="F157" s="114">
        <v>4.5</v>
      </c>
      <c r="G157" s="203">
        <f t="shared" si="26"/>
        <v>1012.5</v>
      </c>
      <c r="H157" s="114">
        <v>25</v>
      </c>
      <c r="I157" s="203">
        <f t="shared" si="28"/>
        <v>-133.33333333333334</v>
      </c>
      <c r="J157" s="332">
        <v>0.05</v>
      </c>
      <c r="K157" s="127"/>
      <c r="L157" s="204">
        <f t="shared" si="29"/>
        <v>50000</v>
      </c>
      <c r="M157" s="204">
        <f t="shared" si="30"/>
        <v>20250</v>
      </c>
      <c r="N157" s="206">
        <f t="shared" si="27"/>
        <v>5</v>
      </c>
      <c r="O157" s="127"/>
      <c r="P157" s="127"/>
      <c r="Q157" s="127"/>
      <c r="R157" s="127"/>
      <c r="S157" s="20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row>
    <row r="158" spans="2:41" ht="13" x14ac:dyDescent="0.3">
      <c r="B158" s="526"/>
      <c r="C158" s="114"/>
      <c r="D158" s="114">
        <v>1</v>
      </c>
      <c r="E158" s="181">
        <v>40770</v>
      </c>
      <c r="F158" s="114">
        <v>4</v>
      </c>
      <c r="G158" s="203">
        <f t="shared" si="26"/>
        <v>900</v>
      </c>
      <c r="H158" s="114">
        <v>20</v>
      </c>
      <c r="I158" s="203">
        <f t="shared" si="28"/>
        <v>-666.66666666666663</v>
      </c>
      <c r="J158" s="332">
        <v>0.05</v>
      </c>
      <c r="K158" s="127"/>
      <c r="L158" s="204">
        <f t="shared" si="29"/>
        <v>40000</v>
      </c>
      <c r="M158" s="204">
        <f t="shared" si="30"/>
        <v>18000</v>
      </c>
      <c r="N158" s="206">
        <f t="shared" si="27"/>
        <v>5</v>
      </c>
      <c r="O158" s="127"/>
      <c r="P158" s="127"/>
      <c r="Q158" s="127"/>
      <c r="R158" s="127"/>
      <c r="S158" s="20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row>
    <row r="159" spans="2:41" ht="13" x14ac:dyDescent="0.3">
      <c r="B159" s="526"/>
      <c r="C159" s="114"/>
      <c r="D159" s="114"/>
      <c r="E159" s="181">
        <v>40787</v>
      </c>
      <c r="F159" s="114">
        <v>3.5</v>
      </c>
      <c r="G159" s="203">
        <f t="shared" si="26"/>
        <v>787.5</v>
      </c>
      <c r="H159" s="114">
        <v>14</v>
      </c>
      <c r="I159" s="203">
        <f t="shared" si="28"/>
        <v>-800</v>
      </c>
      <c r="J159" s="332">
        <v>0.02</v>
      </c>
      <c r="K159" s="127"/>
      <c r="L159" s="204">
        <f t="shared" si="29"/>
        <v>28000</v>
      </c>
      <c r="M159" s="204">
        <f t="shared" si="30"/>
        <v>15750</v>
      </c>
      <c r="N159" s="206">
        <f t="shared" si="27"/>
        <v>2</v>
      </c>
      <c r="O159" s="127"/>
      <c r="P159" s="127"/>
      <c r="Q159" s="127"/>
      <c r="R159" s="127"/>
      <c r="S159" s="20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row>
    <row r="160" spans="2:41" ht="13" x14ac:dyDescent="0.3">
      <c r="B160" s="526"/>
      <c r="C160" s="114"/>
      <c r="D160" s="114"/>
      <c r="E160" s="181">
        <v>40801</v>
      </c>
      <c r="F160" s="114">
        <v>3</v>
      </c>
      <c r="G160" s="203">
        <f t="shared" si="26"/>
        <v>675</v>
      </c>
      <c r="H160" s="114">
        <v>12</v>
      </c>
      <c r="I160" s="203">
        <f t="shared" si="28"/>
        <v>-266.66666666666669</v>
      </c>
      <c r="J160" s="332">
        <v>0.02</v>
      </c>
      <c r="K160" s="127"/>
      <c r="L160" s="204">
        <f t="shared" si="29"/>
        <v>24000</v>
      </c>
      <c r="M160" s="204">
        <f t="shared" si="30"/>
        <v>13500</v>
      </c>
      <c r="N160" s="206">
        <f t="shared" si="27"/>
        <v>2</v>
      </c>
      <c r="O160" s="127"/>
      <c r="P160" s="127"/>
      <c r="Q160" s="127"/>
      <c r="R160" s="127"/>
      <c r="S160" s="20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row>
    <row r="161" spans="2:41" ht="13" x14ac:dyDescent="0.3">
      <c r="B161" s="526"/>
      <c r="C161" s="114">
        <v>1</v>
      </c>
      <c r="D161" s="114"/>
      <c r="E161" s="181">
        <v>40817</v>
      </c>
      <c r="F161" s="114">
        <v>0.5</v>
      </c>
      <c r="G161" s="203">
        <f t="shared" si="26"/>
        <v>112.5</v>
      </c>
      <c r="H161" s="114">
        <v>10</v>
      </c>
      <c r="I161" s="203">
        <f t="shared" si="28"/>
        <v>-266.66666666666669</v>
      </c>
      <c r="J161" s="332">
        <v>0</v>
      </c>
      <c r="K161" s="127"/>
      <c r="L161" s="204">
        <f t="shared" si="29"/>
        <v>20000</v>
      </c>
      <c r="M161" s="204">
        <f t="shared" si="30"/>
        <v>2250</v>
      </c>
      <c r="N161" s="206">
        <f t="shared" si="27"/>
        <v>0</v>
      </c>
      <c r="O161" s="127"/>
      <c r="P161" s="127"/>
      <c r="Q161" s="127"/>
      <c r="R161" s="127"/>
      <c r="S161" s="20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row>
    <row r="162" spans="2:41" ht="13" x14ac:dyDescent="0.3">
      <c r="B162" s="526"/>
      <c r="C162" s="114">
        <v>1</v>
      </c>
      <c r="D162" s="114"/>
      <c r="E162" s="181">
        <v>40831</v>
      </c>
      <c r="F162" s="114">
        <v>0.1</v>
      </c>
      <c r="G162" s="203">
        <f t="shared" si="26"/>
        <v>22.5</v>
      </c>
      <c r="H162" s="114">
        <v>9</v>
      </c>
      <c r="I162" s="203">
        <f t="shared" si="28"/>
        <v>-133.33333333333334</v>
      </c>
      <c r="J162" s="332">
        <v>0</v>
      </c>
      <c r="K162" s="127"/>
      <c r="L162" s="204">
        <f t="shared" si="29"/>
        <v>18000</v>
      </c>
      <c r="M162" s="204">
        <f t="shared" si="30"/>
        <v>450</v>
      </c>
      <c r="N162" s="206">
        <f t="shared" si="27"/>
        <v>0</v>
      </c>
      <c r="O162" s="127"/>
      <c r="P162" s="127"/>
      <c r="Q162" s="127"/>
      <c r="R162" s="127"/>
      <c r="S162" s="20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row>
    <row r="163" spans="2:41" ht="13" x14ac:dyDescent="0.3">
      <c r="B163" s="526"/>
      <c r="C163" s="114">
        <v>1</v>
      </c>
      <c r="D163" s="114"/>
      <c r="E163" s="181">
        <v>40848</v>
      </c>
      <c r="F163" s="114"/>
      <c r="G163" s="203">
        <f t="shared" si="26"/>
        <v>0</v>
      </c>
      <c r="H163" s="114">
        <v>8</v>
      </c>
      <c r="I163" s="203">
        <f t="shared" si="28"/>
        <v>-133.33333333333334</v>
      </c>
      <c r="J163" s="332">
        <v>0</v>
      </c>
      <c r="K163" s="127"/>
      <c r="L163" s="204">
        <f t="shared" si="29"/>
        <v>16000</v>
      </c>
      <c r="M163" s="204">
        <f t="shared" si="30"/>
        <v>0</v>
      </c>
      <c r="N163" s="206">
        <f t="shared" si="27"/>
        <v>0</v>
      </c>
      <c r="O163" s="127"/>
      <c r="P163" s="127"/>
      <c r="Q163" s="127"/>
      <c r="R163" s="127"/>
      <c r="S163" s="20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row>
    <row r="164" spans="2:41" ht="13" x14ac:dyDescent="0.3">
      <c r="B164" s="526"/>
      <c r="C164" s="114">
        <v>1</v>
      </c>
      <c r="D164" s="114"/>
      <c r="E164" s="181">
        <v>40862</v>
      </c>
      <c r="F164" s="114"/>
      <c r="G164" s="203">
        <f t="shared" si="26"/>
        <v>0</v>
      </c>
      <c r="H164" s="114">
        <v>8</v>
      </c>
      <c r="I164" s="203">
        <f t="shared" si="28"/>
        <v>0</v>
      </c>
      <c r="J164" s="332">
        <v>0</v>
      </c>
      <c r="K164" s="127"/>
      <c r="L164" s="204">
        <f t="shared" si="29"/>
        <v>16000</v>
      </c>
      <c r="M164" s="204">
        <f t="shared" si="30"/>
        <v>0</v>
      </c>
      <c r="N164" s="206">
        <f t="shared" si="27"/>
        <v>0</v>
      </c>
      <c r="O164" s="127"/>
      <c r="P164" s="127"/>
      <c r="Q164" s="127"/>
      <c r="R164" s="127"/>
      <c r="S164" s="20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row>
    <row r="165" spans="2:41" ht="13" x14ac:dyDescent="0.3">
      <c r="B165" s="526"/>
      <c r="C165" s="114">
        <v>1</v>
      </c>
      <c r="D165" s="114"/>
      <c r="E165" s="181">
        <v>40878</v>
      </c>
      <c r="F165" s="114">
        <v>4.2999999999999997E-2</v>
      </c>
      <c r="G165" s="203">
        <f t="shared" si="26"/>
        <v>9.6749999999999989</v>
      </c>
      <c r="H165" s="114">
        <v>8</v>
      </c>
      <c r="I165" s="203">
        <f t="shared" si="28"/>
        <v>0</v>
      </c>
      <c r="J165" s="332">
        <v>0</v>
      </c>
      <c r="K165" s="127"/>
      <c r="L165" s="204">
        <f t="shared" si="29"/>
        <v>16000</v>
      </c>
      <c r="M165" s="204">
        <f t="shared" si="30"/>
        <v>193.49999999999997</v>
      </c>
      <c r="N165" s="206">
        <f t="shared" si="27"/>
        <v>0</v>
      </c>
      <c r="O165" s="127"/>
      <c r="P165" s="127"/>
      <c r="Q165" s="127"/>
      <c r="R165" s="127"/>
      <c r="S165" s="20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row>
    <row r="166" spans="2:41" ht="13" x14ac:dyDescent="0.3">
      <c r="B166" s="526"/>
      <c r="C166" s="114">
        <v>1</v>
      </c>
      <c r="D166" s="114"/>
      <c r="E166" s="181">
        <v>40892</v>
      </c>
      <c r="F166" s="114">
        <v>4.2999999999999997E-2</v>
      </c>
      <c r="G166" s="208">
        <f t="shared" si="26"/>
        <v>9.6749999999999989</v>
      </c>
      <c r="H166" s="114">
        <v>8</v>
      </c>
      <c r="I166" s="203">
        <f t="shared" si="28"/>
        <v>0</v>
      </c>
      <c r="J166" s="332">
        <v>0</v>
      </c>
      <c r="K166" s="127"/>
      <c r="L166" s="204">
        <f t="shared" si="29"/>
        <v>16000</v>
      </c>
      <c r="M166" s="204">
        <f t="shared" si="30"/>
        <v>193.49999999999997</v>
      </c>
      <c r="N166" s="206">
        <f t="shared" si="27"/>
        <v>0</v>
      </c>
      <c r="O166" s="127"/>
      <c r="P166" s="127"/>
      <c r="Q166" s="127"/>
      <c r="R166" s="127"/>
      <c r="S166" s="20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row>
    <row r="167" spans="2:41" ht="13" x14ac:dyDescent="0.3">
      <c r="B167" s="127"/>
      <c r="C167" s="152"/>
      <c r="D167" s="150"/>
      <c r="E167" s="314">
        <v>43100</v>
      </c>
      <c r="F167" s="114">
        <v>4.2999999999999997E-2</v>
      </c>
      <c r="G167" s="300">
        <f>H143</f>
        <v>8</v>
      </c>
      <c r="H167" s="300">
        <f>I143</f>
        <v>0</v>
      </c>
      <c r="I167" s="300">
        <f>J143</f>
        <v>0</v>
      </c>
      <c r="J167" s="334">
        <f>K143</f>
        <v>0</v>
      </c>
      <c r="K167" s="300"/>
      <c r="L167" s="300">
        <f>M143</f>
        <v>193.49999999999997</v>
      </c>
      <c r="M167" s="300">
        <f>N143</f>
        <v>0</v>
      </c>
      <c r="N167" s="315">
        <f>O143</f>
        <v>0</v>
      </c>
      <c r="O167" s="127"/>
      <c r="P167" s="127"/>
      <c r="Q167" s="127"/>
      <c r="R167" s="127"/>
      <c r="S167" s="20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row>
    <row r="168" spans="2:41" x14ac:dyDescent="0.25">
      <c r="B168" s="127"/>
      <c r="E168" s="127"/>
      <c r="G168" s="127"/>
      <c r="I168" s="127"/>
      <c r="K168" s="127"/>
      <c r="L168" s="127"/>
      <c r="M168" s="127"/>
      <c r="N168" s="127"/>
      <c r="O168" s="127"/>
      <c r="P168" s="127"/>
      <c r="Q168" s="127"/>
      <c r="R168" s="127"/>
      <c r="S168" s="20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row>
    <row r="169" spans="2:41" x14ac:dyDescent="0.25">
      <c r="B169" s="127"/>
      <c r="D169" s="150"/>
      <c r="E169" s="127"/>
      <c r="G169" s="127"/>
      <c r="I169" s="127"/>
      <c r="K169" s="127"/>
      <c r="L169" s="127"/>
      <c r="M169" s="127"/>
      <c r="N169" s="127"/>
      <c r="O169" s="127"/>
      <c r="P169" s="127"/>
      <c r="Q169" s="127"/>
      <c r="R169" s="127"/>
      <c r="S169" s="20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row>
    <row r="170" spans="2:41" ht="191.25" customHeight="1" x14ac:dyDescent="0.45">
      <c r="B170" s="210" t="s">
        <v>163</v>
      </c>
      <c r="C170" s="151" t="s">
        <v>45</v>
      </c>
      <c r="D170" s="151" t="s">
        <v>46</v>
      </c>
      <c r="E170" s="196" t="s">
        <v>38</v>
      </c>
      <c r="F170" s="154" t="s">
        <v>39</v>
      </c>
      <c r="G170" s="198" t="s">
        <v>84</v>
      </c>
      <c r="H170" s="155" t="s">
        <v>86</v>
      </c>
      <c r="I170" s="200" t="s">
        <v>85</v>
      </c>
      <c r="J170" s="336" t="s">
        <v>40</v>
      </c>
      <c r="K170" s="127"/>
      <c r="L170" s="199" t="s">
        <v>42</v>
      </c>
      <c r="M170" s="197" t="s">
        <v>43</v>
      </c>
      <c r="N170" s="201" t="s">
        <v>87</v>
      </c>
      <c r="O170" s="211"/>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row>
    <row r="171" spans="2:41" ht="13" x14ac:dyDescent="0.3">
      <c r="B171" s="526"/>
      <c r="C171" s="114">
        <v>1</v>
      </c>
      <c r="D171" s="114"/>
      <c r="E171" s="181">
        <v>40544</v>
      </c>
      <c r="F171" s="153">
        <v>0.5</v>
      </c>
      <c r="G171" s="203">
        <f>M171/20</f>
        <v>112.5</v>
      </c>
      <c r="H171" s="153">
        <v>6</v>
      </c>
      <c r="I171" s="203"/>
      <c r="J171" s="160">
        <v>0</v>
      </c>
      <c r="K171" s="127"/>
      <c r="L171" s="204">
        <f>H171*$M$2</f>
        <v>12000</v>
      </c>
      <c r="M171" s="204">
        <f>F171*$M$3</f>
        <v>2250</v>
      </c>
      <c r="N171" s="127">
        <f t="shared" ref="N171:N194" si="31">J171*100</f>
        <v>0</v>
      </c>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row>
    <row r="172" spans="2:41" ht="13" x14ac:dyDescent="0.3">
      <c r="B172" s="526"/>
      <c r="C172" s="114">
        <v>1</v>
      </c>
      <c r="D172" s="114">
        <v>1</v>
      </c>
      <c r="E172" s="181">
        <v>40558</v>
      </c>
      <c r="F172" s="153">
        <v>2.5</v>
      </c>
      <c r="G172" s="203">
        <f t="shared" ref="G172:G195" si="32">M172/20</f>
        <v>562.5</v>
      </c>
      <c r="H172" s="153">
        <v>5.5</v>
      </c>
      <c r="I172" s="203">
        <f t="shared" ref="I172:I194" si="33">(L172-L171)/15</f>
        <v>-66.666666666666671</v>
      </c>
      <c r="J172" s="160">
        <v>0</v>
      </c>
      <c r="K172" s="127"/>
      <c r="L172" s="204">
        <f t="shared" ref="L172:L194" si="34">H172*$M$2</f>
        <v>11000</v>
      </c>
      <c r="M172" s="204">
        <f t="shared" ref="M172:M194" si="35">F172*$M$3</f>
        <v>11250</v>
      </c>
      <c r="N172" s="127">
        <f t="shared" si="31"/>
        <v>0</v>
      </c>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row>
    <row r="173" spans="2:41" ht="13" x14ac:dyDescent="0.3">
      <c r="B173" s="526"/>
      <c r="C173" s="114">
        <v>1</v>
      </c>
      <c r="D173" s="114">
        <v>1</v>
      </c>
      <c r="E173" s="181">
        <v>40575</v>
      </c>
      <c r="F173" s="153">
        <v>4.5</v>
      </c>
      <c r="G173" s="203">
        <f t="shared" si="32"/>
        <v>1012.5</v>
      </c>
      <c r="H173" s="153">
        <v>6</v>
      </c>
      <c r="I173" s="203">
        <f t="shared" si="33"/>
        <v>66.666666666666671</v>
      </c>
      <c r="J173" s="160">
        <v>0.02</v>
      </c>
      <c r="K173" s="127"/>
      <c r="L173" s="204">
        <f t="shared" si="34"/>
        <v>12000</v>
      </c>
      <c r="M173" s="204">
        <f t="shared" si="35"/>
        <v>20250</v>
      </c>
      <c r="N173" s="127">
        <f t="shared" si="31"/>
        <v>2</v>
      </c>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row>
    <row r="174" spans="2:41" ht="13" x14ac:dyDescent="0.3">
      <c r="B174" s="526"/>
      <c r="C174" s="114">
        <v>1</v>
      </c>
      <c r="D174" s="114">
        <v>1</v>
      </c>
      <c r="E174" s="181">
        <v>40589</v>
      </c>
      <c r="F174" s="153">
        <v>5.5</v>
      </c>
      <c r="G174" s="203">
        <f t="shared" si="32"/>
        <v>1237.5</v>
      </c>
      <c r="H174" s="153">
        <v>8</v>
      </c>
      <c r="I174" s="203">
        <f t="shared" si="33"/>
        <v>266.66666666666669</v>
      </c>
      <c r="J174" s="160">
        <v>0.02</v>
      </c>
      <c r="K174" s="127"/>
      <c r="L174" s="204">
        <f t="shared" si="34"/>
        <v>16000</v>
      </c>
      <c r="M174" s="204">
        <f t="shared" si="35"/>
        <v>24750</v>
      </c>
      <c r="N174" s="127">
        <f t="shared" si="31"/>
        <v>2</v>
      </c>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row>
    <row r="175" spans="2:41" ht="13" x14ac:dyDescent="0.3">
      <c r="B175" s="526"/>
      <c r="C175" s="114">
        <v>1</v>
      </c>
      <c r="D175" s="114">
        <v>1</v>
      </c>
      <c r="E175" s="181">
        <v>40603</v>
      </c>
      <c r="F175" s="153">
        <v>7</v>
      </c>
      <c r="G175" s="203">
        <f t="shared" si="32"/>
        <v>1575</v>
      </c>
      <c r="H175" s="153">
        <v>11</v>
      </c>
      <c r="I175" s="203">
        <f t="shared" si="33"/>
        <v>400</v>
      </c>
      <c r="J175" s="160">
        <v>0.03</v>
      </c>
      <c r="K175" s="127"/>
      <c r="L175" s="204">
        <f t="shared" si="34"/>
        <v>22000</v>
      </c>
      <c r="M175" s="204">
        <f t="shared" si="35"/>
        <v>31500</v>
      </c>
      <c r="N175" s="127">
        <f t="shared" si="31"/>
        <v>3</v>
      </c>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row>
    <row r="176" spans="2:41" ht="13" x14ac:dyDescent="0.3">
      <c r="B176" s="526"/>
      <c r="C176" s="114"/>
      <c r="D176" s="114">
        <v>1</v>
      </c>
      <c r="E176" s="181">
        <v>40617</v>
      </c>
      <c r="F176" s="153">
        <v>8</v>
      </c>
      <c r="G176" s="203">
        <f t="shared" si="32"/>
        <v>1800</v>
      </c>
      <c r="H176" s="153">
        <v>16</v>
      </c>
      <c r="I176" s="203">
        <f t="shared" si="33"/>
        <v>666.66666666666663</v>
      </c>
      <c r="J176" s="160">
        <v>0.08</v>
      </c>
      <c r="K176" s="127"/>
      <c r="L176" s="204">
        <f t="shared" si="34"/>
        <v>32000</v>
      </c>
      <c r="M176" s="204">
        <f t="shared" si="35"/>
        <v>36000</v>
      </c>
      <c r="N176" s="127">
        <f t="shared" si="31"/>
        <v>8</v>
      </c>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row>
    <row r="177" spans="2:41" ht="13" x14ac:dyDescent="0.3">
      <c r="B177" s="526"/>
      <c r="C177" s="114"/>
      <c r="D177" s="114">
        <v>1</v>
      </c>
      <c r="E177" s="181">
        <v>40634</v>
      </c>
      <c r="F177" s="153">
        <v>10</v>
      </c>
      <c r="G177" s="203">
        <f t="shared" si="32"/>
        <v>2250</v>
      </c>
      <c r="H177" s="153">
        <v>20</v>
      </c>
      <c r="I177" s="203">
        <f t="shared" si="33"/>
        <v>533.33333333333337</v>
      </c>
      <c r="J177" s="160">
        <v>0.1</v>
      </c>
      <c r="K177" s="127"/>
      <c r="L177" s="204">
        <f t="shared" si="34"/>
        <v>40000</v>
      </c>
      <c r="M177" s="204">
        <f t="shared" si="35"/>
        <v>45000</v>
      </c>
      <c r="N177" s="127">
        <f t="shared" si="31"/>
        <v>10</v>
      </c>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row>
    <row r="178" spans="2:41" ht="13" x14ac:dyDescent="0.3">
      <c r="B178" s="526"/>
      <c r="C178" s="114"/>
      <c r="D178" s="114">
        <v>1</v>
      </c>
      <c r="E178" s="181">
        <v>40648</v>
      </c>
      <c r="F178" s="153">
        <v>9</v>
      </c>
      <c r="G178" s="203">
        <f t="shared" si="32"/>
        <v>2025</v>
      </c>
      <c r="H178" s="153">
        <v>15</v>
      </c>
      <c r="I178" s="203">
        <f t="shared" si="33"/>
        <v>-666.66666666666663</v>
      </c>
      <c r="J178" s="160">
        <v>0.15</v>
      </c>
      <c r="K178" s="127"/>
      <c r="L178" s="204">
        <f t="shared" si="34"/>
        <v>30000</v>
      </c>
      <c r="M178" s="204">
        <f t="shared" si="35"/>
        <v>40500</v>
      </c>
      <c r="N178" s="127">
        <f t="shared" si="31"/>
        <v>15</v>
      </c>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row>
    <row r="179" spans="2:41" ht="13" x14ac:dyDescent="0.3">
      <c r="B179" s="526"/>
      <c r="C179" s="114"/>
      <c r="D179" s="114">
        <v>1</v>
      </c>
      <c r="E179" s="181">
        <v>40664</v>
      </c>
      <c r="F179" s="153">
        <v>9</v>
      </c>
      <c r="G179" s="203">
        <f t="shared" si="32"/>
        <v>2025</v>
      </c>
      <c r="H179" s="153">
        <v>15</v>
      </c>
      <c r="I179" s="203">
        <f t="shared" si="33"/>
        <v>0</v>
      </c>
      <c r="J179" s="160">
        <v>0.1</v>
      </c>
      <c r="K179" s="127"/>
      <c r="L179" s="204">
        <f t="shared" si="34"/>
        <v>30000</v>
      </c>
      <c r="M179" s="204">
        <f t="shared" si="35"/>
        <v>40500</v>
      </c>
      <c r="N179" s="127">
        <f t="shared" si="31"/>
        <v>10</v>
      </c>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row>
    <row r="180" spans="2:41" ht="13" x14ac:dyDescent="0.3">
      <c r="B180" s="526"/>
      <c r="C180" s="114"/>
      <c r="D180" s="114">
        <v>1</v>
      </c>
      <c r="E180" s="181">
        <v>40678</v>
      </c>
      <c r="F180" s="153">
        <v>10</v>
      </c>
      <c r="G180" s="203">
        <f t="shared" si="32"/>
        <v>2250</v>
      </c>
      <c r="H180" s="153">
        <v>20</v>
      </c>
      <c r="I180" s="203">
        <f t="shared" si="33"/>
        <v>666.66666666666663</v>
      </c>
      <c r="J180" s="160">
        <v>0.1</v>
      </c>
      <c r="K180" s="127"/>
      <c r="L180" s="204">
        <f t="shared" si="34"/>
        <v>40000</v>
      </c>
      <c r="M180" s="204">
        <f t="shared" si="35"/>
        <v>45000</v>
      </c>
      <c r="N180" s="127">
        <f t="shared" si="31"/>
        <v>10</v>
      </c>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row>
    <row r="181" spans="2:41" ht="13" x14ac:dyDescent="0.3">
      <c r="B181" s="526"/>
      <c r="C181" s="114"/>
      <c r="D181" s="114">
        <v>1</v>
      </c>
      <c r="E181" s="181">
        <v>40695</v>
      </c>
      <c r="F181" s="153">
        <v>10</v>
      </c>
      <c r="G181" s="203">
        <f t="shared" si="32"/>
        <v>2250</v>
      </c>
      <c r="H181" s="153">
        <v>23</v>
      </c>
      <c r="I181" s="203">
        <f t="shared" si="33"/>
        <v>400</v>
      </c>
      <c r="J181" s="160">
        <v>0.05</v>
      </c>
      <c r="K181" s="127"/>
      <c r="L181" s="204">
        <f t="shared" si="34"/>
        <v>46000</v>
      </c>
      <c r="M181" s="204">
        <f t="shared" si="35"/>
        <v>45000</v>
      </c>
      <c r="N181" s="127">
        <f t="shared" si="31"/>
        <v>5</v>
      </c>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row>
    <row r="182" spans="2:41" ht="13" x14ac:dyDescent="0.3">
      <c r="B182" s="526"/>
      <c r="C182" s="114"/>
      <c r="D182" s="114">
        <v>1</v>
      </c>
      <c r="E182" s="181">
        <v>40709</v>
      </c>
      <c r="F182" s="153">
        <v>9</v>
      </c>
      <c r="G182" s="203">
        <f t="shared" si="32"/>
        <v>2025</v>
      </c>
      <c r="H182" s="153">
        <v>25</v>
      </c>
      <c r="I182" s="203">
        <f t="shared" si="33"/>
        <v>266.66666666666669</v>
      </c>
      <c r="J182" s="160">
        <v>0.05</v>
      </c>
      <c r="K182" s="127"/>
      <c r="L182" s="204">
        <f t="shared" si="34"/>
        <v>50000</v>
      </c>
      <c r="M182" s="204">
        <f t="shared" si="35"/>
        <v>40500</v>
      </c>
      <c r="N182" s="127">
        <f t="shared" si="31"/>
        <v>5</v>
      </c>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row>
    <row r="183" spans="2:41" ht="13" x14ac:dyDescent="0.3">
      <c r="B183" s="526"/>
      <c r="C183" s="114"/>
      <c r="D183" s="114"/>
      <c r="E183" s="181">
        <v>40725</v>
      </c>
      <c r="F183" s="153">
        <v>6</v>
      </c>
      <c r="G183" s="203">
        <f t="shared" si="32"/>
        <v>1350</v>
      </c>
      <c r="H183" s="153">
        <v>24</v>
      </c>
      <c r="I183" s="203">
        <f t="shared" si="33"/>
        <v>-133.33333333333334</v>
      </c>
      <c r="J183" s="160">
        <v>0.05</v>
      </c>
      <c r="K183" s="127"/>
      <c r="L183" s="204">
        <f t="shared" si="34"/>
        <v>48000</v>
      </c>
      <c r="M183" s="204">
        <f t="shared" si="35"/>
        <v>27000</v>
      </c>
      <c r="N183" s="127">
        <f t="shared" si="31"/>
        <v>5</v>
      </c>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row>
    <row r="184" spans="2:41" ht="13" x14ac:dyDescent="0.3">
      <c r="B184" s="526"/>
      <c r="C184" s="114"/>
      <c r="D184" s="114"/>
      <c r="E184" s="181">
        <v>40739</v>
      </c>
      <c r="F184" s="153">
        <v>5</v>
      </c>
      <c r="G184" s="203">
        <f t="shared" si="32"/>
        <v>1125</v>
      </c>
      <c r="H184" s="153">
        <v>23</v>
      </c>
      <c r="I184" s="203">
        <f t="shared" si="33"/>
        <v>-133.33333333333334</v>
      </c>
      <c r="J184" s="160">
        <v>0.02</v>
      </c>
      <c r="K184" s="127"/>
      <c r="L184" s="204">
        <f t="shared" si="34"/>
        <v>46000</v>
      </c>
      <c r="M184" s="204">
        <f t="shared" si="35"/>
        <v>22500</v>
      </c>
      <c r="N184" s="127">
        <f t="shared" si="31"/>
        <v>2</v>
      </c>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row>
    <row r="185" spans="2:41" ht="13" x14ac:dyDescent="0.3">
      <c r="B185" s="526"/>
      <c r="C185" s="114"/>
      <c r="D185" s="114"/>
      <c r="E185" s="181">
        <v>40756</v>
      </c>
      <c r="F185" s="153">
        <v>4.5</v>
      </c>
      <c r="G185" s="203">
        <f t="shared" si="32"/>
        <v>1012.5</v>
      </c>
      <c r="H185" s="153">
        <v>20</v>
      </c>
      <c r="I185" s="203">
        <f t="shared" si="33"/>
        <v>-400</v>
      </c>
      <c r="J185" s="160">
        <v>0.02</v>
      </c>
      <c r="K185" s="127"/>
      <c r="L185" s="204">
        <f t="shared" si="34"/>
        <v>40000</v>
      </c>
      <c r="M185" s="204">
        <f t="shared" si="35"/>
        <v>20250</v>
      </c>
      <c r="N185" s="127">
        <f t="shared" si="31"/>
        <v>2</v>
      </c>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row>
    <row r="186" spans="2:41" ht="13" x14ac:dyDescent="0.3">
      <c r="B186" s="526"/>
      <c r="C186" s="114"/>
      <c r="D186" s="114"/>
      <c r="E186" s="181">
        <v>40770</v>
      </c>
      <c r="F186" s="153">
        <v>4</v>
      </c>
      <c r="G186" s="203">
        <f t="shared" si="32"/>
        <v>900</v>
      </c>
      <c r="H186" s="153">
        <v>17</v>
      </c>
      <c r="I186" s="203">
        <f t="shared" si="33"/>
        <v>-400</v>
      </c>
      <c r="J186" s="160">
        <v>0.02</v>
      </c>
      <c r="K186" s="127"/>
      <c r="L186" s="204">
        <f t="shared" si="34"/>
        <v>34000</v>
      </c>
      <c r="M186" s="204">
        <f t="shared" si="35"/>
        <v>18000</v>
      </c>
      <c r="N186" s="127">
        <f t="shared" si="31"/>
        <v>2</v>
      </c>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row>
    <row r="187" spans="2:41" ht="13" x14ac:dyDescent="0.3">
      <c r="B187" s="526"/>
      <c r="C187" s="114"/>
      <c r="D187" s="114"/>
      <c r="E187" s="181">
        <v>40787</v>
      </c>
      <c r="F187" s="153">
        <v>3.5</v>
      </c>
      <c r="G187" s="203">
        <f t="shared" si="32"/>
        <v>787.5</v>
      </c>
      <c r="H187" s="153">
        <v>14</v>
      </c>
      <c r="I187" s="203">
        <f t="shared" si="33"/>
        <v>-400</v>
      </c>
      <c r="J187" s="160">
        <v>0.01</v>
      </c>
      <c r="K187" s="127"/>
      <c r="L187" s="204">
        <f t="shared" si="34"/>
        <v>28000</v>
      </c>
      <c r="M187" s="204">
        <f t="shared" si="35"/>
        <v>15750</v>
      </c>
      <c r="N187" s="127">
        <f t="shared" si="31"/>
        <v>1</v>
      </c>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row>
    <row r="188" spans="2:41" ht="13" x14ac:dyDescent="0.3">
      <c r="B188" s="526"/>
      <c r="C188" s="114"/>
      <c r="D188" s="114"/>
      <c r="E188" s="181">
        <v>40801</v>
      </c>
      <c r="F188" s="153">
        <v>4</v>
      </c>
      <c r="G188" s="203">
        <f t="shared" si="32"/>
        <v>900</v>
      </c>
      <c r="H188" s="153">
        <v>12</v>
      </c>
      <c r="I188" s="203">
        <f t="shared" si="33"/>
        <v>-266.66666666666669</v>
      </c>
      <c r="J188" s="160">
        <v>0.01</v>
      </c>
      <c r="K188" s="127"/>
      <c r="L188" s="204">
        <f t="shared" si="34"/>
        <v>24000</v>
      </c>
      <c r="M188" s="204">
        <f t="shared" si="35"/>
        <v>18000</v>
      </c>
      <c r="N188" s="127">
        <f t="shared" si="31"/>
        <v>1</v>
      </c>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row>
    <row r="189" spans="2:41" ht="13" x14ac:dyDescent="0.3">
      <c r="B189" s="526"/>
      <c r="C189" s="114"/>
      <c r="D189" s="114">
        <v>1</v>
      </c>
      <c r="E189" s="181">
        <v>40817</v>
      </c>
      <c r="F189" s="153">
        <v>5</v>
      </c>
      <c r="G189" s="203">
        <f t="shared" si="32"/>
        <v>1125</v>
      </c>
      <c r="H189" s="153">
        <v>10</v>
      </c>
      <c r="I189" s="203">
        <f t="shared" si="33"/>
        <v>-266.66666666666669</v>
      </c>
      <c r="J189" s="160">
        <v>0</v>
      </c>
      <c r="K189" s="127"/>
      <c r="L189" s="204">
        <f t="shared" si="34"/>
        <v>20000</v>
      </c>
      <c r="M189" s="204">
        <f t="shared" si="35"/>
        <v>22500</v>
      </c>
      <c r="N189" s="127">
        <f t="shared" si="31"/>
        <v>0</v>
      </c>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row>
    <row r="190" spans="2:41" ht="13" x14ac:dyDescent="0.3">
      <c r="B190" s="526"/>
      <c r="C190" s="114"/>
      <c r="D190" s="114">
        <v>1</v>
      </c>
      <c r="E190" s="181">
        <v>40831</v>
      </c>
      <c r="F190" s="153">
        <v>4</v>
      </c>
      <c r="G190" s="203">
        <f t="shared" si="32"/>
        <v>900</v>
      </c>
      <c r="H190" s="153">
        <v>9</v>
      </c>
      <c r="I190" s="203">
        <f t="shared" si="33"/>
        <v>-133.33333333333334</v>
      </c>
      <c r="J190" s="160">
        <v>0</v>
      </c>
      <c r="K190" s="127"/>
      <c r="L190" s="204">
        <f t="shared" si="34"/>
        <v>18000</v>
      </c>
      <c r="M190" s="204">
        <f t="shared" si="35"/>
        <v>18000</v>
      </c>
      <c r="N190" s="127">
        <f t="shared" si="31"/>
        <v>0</v>
      </c>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row>
    <row r="191" spans="2:41" ht="13" x14ac:dyDescent="0.3">
      <c r="B191" s="526"/>
      <c r="C191" s="114">
        <v>1</v>
      </c>
      <c r="D191" s="114"/>
      <c r="E191" s="181">
        <v>40848</v>
      </c>
      <c r="F191" s="153">
        <v>1</v>
      </c>
      <c r="G191" s="203">
        <f t="shared" si="32"/>
        <v>225</v>
      </c>
      <c r="H191" s="153">
        <v>8</v>
      </c>
      <c r="I191" s="203">
        <f t="shared" si="33"/>
        <v>-133.33333333333334</v>
      </c>
      <c r="J191" s="160">
        <v>0</v>
      </c>
      <c r="K191" s="127"/>
      <c r="L191" s="204">
        <f t="shared" si="34"/>
        <v>16000</v>
      </c>
      <c r="M191" s="204">
        <f t="shared" si="35"/>
        <v>4500</v>
      </c>
      <c r="N191" s="127">
        <f t="shared" si="31"/>
        <v>0</v>
      </c>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row>
    <row r="192" spans="2:41" ht="13" x14ac:dyDescent="0.3">
      <c r="B192" s="526"/>
      <c r="C192" s="114">
        <v>1</v>
      </c>
      <c r="D192" s="114"/>
      <c r="E192" s="181">
        <v>40862</v>
      </c>
      <c r="F192" s="153">
        <v>0</v>
      </c>
      <c r="G192" s="203">
        <f t="shared" si="32"/>
        <v>0</v>
      </c>
      <c r="H192" s="153">
        <v>7</v>
      </c>
      <c r="I192" s="203">
        <f t="shared" si="33"/>
        <v>-133.33333333333334</v>
      </c>
      <c r="J192" s="160">
        <v>0</v>
      </c>
      <c r="K192" s="127"/>
      <c r="L192" s="204">
        <f t="shared" si="34"/>
        <v>14000</v>
      </c>
      <c r="M192" s="204">
        <f t="shared" si="35"/>
        <v>0</v>
      </c>
      <c r="N192" s="127">
        <f t="shared" si="31"/>
        <v>0</v>
      </c>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row>
    <row r="193" spans="2:41" ht="13" x14ac:dyDescent="0.3">
      <c r="B193" s="526"/>
      <c r="C193" s="114">
        <v>1</v>
      </c>
      <c r="D193" s="114"/>
      <c r="E193" s="181">
        <v>40878</v>
      </c>
      <c r="F193" s="153">
        <v>0</v>
      </c>
      <c r="G193" s="203">
        <f t="shared" si="32"/>
        <v>0</v>
      </c>
      <c r="H193" s="153">
        <v>6</v>
      </c>
      <c r="I193" s="203">
        <f t="shared" si="33"/>
        <v>-133.33333333333334</v>
      </c>
      <c r="J193" s="160">
        <v>0</v>
      </c>
      <c r="K193" s="127"/>
      <c r="L193" s="204">
        <f t="shared" si="34"/>
        <v>12000</v>
      </c>
      <c r="M193" s="204">
        <f t="shared" si="35"/>
        <v>0</v>
      </c>
      <c r="N193" s="127">
        <f t="shared" si="31"/>
        <v>0</v>
      </c>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row>
    <row r="194" spans="2:41" ht="13" x14ac:dyDescent="0.3">
      <c r="B194" s="526"/>
      <c r="C194" s="114">
        <v>1</v>
      </c>
      <c r="D194" s="114"/>
      <c r="E194" s="181">
        <v>40892</v>
      </c>
      <c r="F194" s="153">
        <v>0</v>
      </c>
      <c r="G194" s="203">
        <f t="shared" si="32"/>
        <v>0</v>
      </c>
      <c r="H194" s="153">
        <v>6</v>
      </c>
      <c r="I194" s="203">
        <f t="shared" si="33"/>
        <v>0</v>
      </c>
      <c r="J194" s="160">
        <v>0</v>
      </c>
      <c r="K194" s="127"/>
      <c r="L194" s="204">
        <f t="shared" si="34"/>
        <v>12000</v>
      </c>
      <c r="M194" s="204">
        <f t="shared" si="35"/>
        <v>0</v>
      </c>
      <c r="N194" s="127">
        <f t="shared" si="31"/>
        <v>0</v>
      </c>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row>
    <row r="195" spans="2:41" x14ac:dyDescent="0.25">
      <c r="B195" s="127"/>
      <c r="E195" s="314">
        <v>43100</v>
      </c>
      <c r="F195" s="300">
        <v>0</v>
      </c>
      <c r="G195" s="203">
        <f t="shared" si="32"/>
        <v>0</v>
      </c>
      <c r="H195" s="300">
        <f>I171</f>
        <v>0</v>
      </c>
      <c r="I195" s="300">
        <f>J171</f>
        <v>0</v>
      </c>
      <c r="J195" s="334">
        <f>K171</f>
        <v>0</v>
      </c>
      <c r="K195" s="300"/>
      <c r="L195" s="300">
        <f>M171</f>
        <v>2250</v>
      </c>
      <c r="M195" s="300">
        <f>N171</f>
        <v>0</v>
      </c>
      <c r="N195" s="315">
        <f>O171</f>
        <v>0</v>
      </c>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row>
    <row r="196" spans="2:41" x14ac:dyDescent="0.25">
      <c r="B196" s="127"/>
      <c r="D196" s="150"/>
      <c r="E196" s="127"/>
      <c r="G196" s="127"/>
      <c r="I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row>
    <row r="197" spans="2:41" x14ac:dyDescent="0.25">
      <c r="B197" s="127"/>
      <c r="E197" s="127"/>
      <c r="G197" s="127"/>
      <c r="I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row>
    <row r="198" spans="2:41" ht="102" customHeight="1" x14ac:dyDescent="0.25">
      <c r="B198" s="194" t="s">
        <v>231</v>
      </c>
      <c r="C198" s="151" t="s">
        <v>45</v>
      </c>
      <c r="D198" s="151" t="s">
        <v>46</v>
      </c>
      <c r="E198" s="196" t="s">
        <v>38</v>
      </c>
      <c r="F198" s="154" t="s">
        <v>39</v>
      </c>
      <c r="G198" s="198" t="s">
        <v>84</v>
      </c>
      <c r="H198" s="155" t="s">
        <v>86</v>
      </c>
      <c r="I198" s="200" t="s">
        <v>85</v>
      </c>
      <c r="J198" s="336" t="s">
        <v>40</v>
      </c>
      <c r="K198" s="127"/>
      <c r="L198" s="199" t="s">
        <v>42</v>
      </c>
      <c r="M198" s="197" t="s">
        <v>43</v>
      </c>
      <c r="N198" s="201" t="s">
        <v>87</v>
      </c>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row>
    <row r="199" spans="2:41" x14ac:dyDescent="0.25">
      <c r="B199" s="533" t="s">
        <v>83</v>
      </c>
      <c r="C199" s="153">
        <v>1</v>
      </c>
      <c r="D199" s="153"/>
      <c r="E199" s="181">
        <v>40544</v>
      </c>
      <c r="F199" s="153">
        <v>0.5</v>
      </c>
      <c r="G199" s="203">
        <f t="shared" ref="G199:G222" si="36">M199/20</f>
        <v>112.5</v>
      </c>
      <c r="H199" s="153">
        <v>8</v>
      </c>
      <c r="I199" s="127"/>
      <c r="J199" s="160">
        <v>0</v>
      </c>
      <c r="K199" s="127"/>
      <c r="L199" s="204">
        <f>H199*$M$2</f>
        <v>16000</v>
      </c>
      <c r="M199" s="204">
        <f>F199*$M$3</f>
        <v>2250</v>
      </c>
      <c r="N199" s="206">
        <f t="shared" ref="N199:N222" si="37">J199*100</f>
        <v>0</v>
      </c>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row>
    <row r="200" spans="2:41" x14ac:dyDescent="0.25">
      <c r="B200" s="533"/>
      <c r="C200" s="153">
        <v>1</v>
      </c>
      <c r="D200" s="153">
        <v>1</v>
      </c>
      <c r="E200" s="181">
        <v>40558</v>
      </c>
      <c r="F200" s="153">
        <v>2.5</v>
      </c>
      <c r="G200" s="203">
        <f t="shared" si="36"/>
        <v>562.5</v>
      </c>
      <c r="H200" s="153">
        <v>8</v>
      </c>
      <c r="I200" s="203">
        <f t="shared" ref="I200:I222" si="38">(L200-L199)/15</f>
        <v>0</v>
      </c>
      <c r="J200" s="160">
        <v>0</v>
      </c>
      <c r="K200" s="127"/>
      <c r="L200" s="204">
        <f t="shared" ref="L200:L222" si="39">H200*$M$2</f>
        <v>16000</v>
      </c>
      <c r="M200" s="204">
        <f t="shared" ref="M200:M222" si="40">F200*$M$3</f>
        <v>11250</v>
      </c>
      <c r="N200" s="206">
        <f t="shared" si="37"/>
        <v>0</v>
      </c>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row>
    <row r="201" spans="2:41" x14ac:dyDescent="0.25">
      <c r="B201" s="533"/>
      <c r="C201" s="153">
        <v>1</v>
      </c>
      <c r="D201" s="153">
        <v>1</v>
      </c>
      <c r="E201" s="181">
        <v>40575</v>
      </c>
      <c r="F201" s="153">
        <v>5</v>
      </c>
      <c r="G201" s="203">
        <f t="shared" si="36"/>
        <v>1125</v>
      </c>
      <c r="H201" s="153">
        <v>10</v>
      </c>
      <c r="I201" s="203">
        <f t="shared" si="38"/>
        <v>266.66666666666669</v>
      </c>
      <c r="J201" s="160">
        <v>0.02</v>
      </c>
      <c r="K201" s="127"/>
      <c r="L201" s="204">
        <f t="shared" si="39"/>
        <v>20000</v>
      </c>
      <c r="M201" s="204">
        <f t="shared" si="40"/>
        <v>22500</v>
      </c>
      <c r="N201" s="206">
        <f t="shared" si="37"/>
        <v>2</v>
      </c>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row>
    <row r="202" spans="2:41" x14ac:dyDescent="0.25">
      <c r="B202" s="533"/>
      <c r="C202" s="153">
        <v>1</v>
      </c>
      <c r="D202" s="153">
        <v>1</v>
      </c>
      <c r="E202" s="181">
        <v>40589</v>
      </c>
      <c r="F202" s="153">
        <v>6</v>
      </c>
      <c r="G202" s="203">
        <f t="shared" si="36"/>
        <v>1350</v>
      </c>
      <c r="H202" s="153">
        <v>12</v>
      </c>
      <c r="I202" s="203">
        <f t="shared" si="38"/>
        <v>266.66666666666669</v>
      </c>
      <c r="J202" s="160">
        <v>0.02</v>
      </c>
      <c r="K202" s="127"/>
      <c r="L202" s="204">
        <f t="shared" si="39"/>
        <v>24000</v>
      </c>
      <c r="M202" s="204">
        <f t="shared" si="40"/>
        <v>27000</v>
      </c>
      <c r="N202" s="206">
        <f t="shared" si="37"/>
        <v>2</v>
      </c>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row>
    <row r="203" spans="2:41" x14ac:dyDescent="0.25">
      <c r="B203" s="533"/>
      <c r="C203" s="153">
        <v>1</v>
      </c>
      <c r="D203" s="153">
        <v>1</v>
      </c>
      <c r="E203" s="181">
        <v>40603</v>
      </c>
      <c r="F203" s="153">
        <v>7</v>
      </c>
      <c r="G203" s="203">
        <f t="shared" si="36"/>
        <v>1575</v>
      </c>
      <c r="H203" s="153">
        <v>16</v>
      </c>
      <c r="I203" s="203">
        <f t="shared" si="38"/>
        <v>533.33333333333337</v>
      </c>
      <c r="J203" s="160">
        <v>0.03</v>
      </c>
      <c r="K203" s="127"/>
      <c r="L203" s="204">
        <f t="shared" si="39"/>
        <v>32000</v>
      </c>
      <c r="M203" s="204">
        <f t="shared" si="40"/>
        <v>31500</v>
      </c>
      <c r="N203" s="206">
        <f t="shared" si="37"/>
        <v>3</v>
      </c>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row>
    <row r="204" spans="2:41" x14ac:dyDescent="0.25">
      <c r="B204" s="533"/>
      <c r="C204" s="153"/>
      <c r="D204" s="153">
        <v>1</v>
      </c>
      <c r="E204" s="181">
        <v>40617</v>
      </c>
      <c r="F204" s="153">
        <v>7</v>
      </c>
      <c r="G204" s="203">
        <f t="shared" si="36"/>
        <v>1575</v>
      </c>
      <c r="H204" s="153">
        <v>20</v>
      </c>
      <c r="I204" s="203">
        <f t="shared" si="38"/>
        <v>533.33333333333337</v>
      </c>
      <c r="J204" s="160">
        <v>0.08</v>
      </c>
      <c r="K204" s="127"/>
      <c r="L204" s="204">
        <f t="shared" si="39"/>
        <v>40000</v>
      </c>
      <c r="M204" s="204">
        <f t="shared" si="40"/>
        <v>31500</v>
      </c>
      <c r="N204" s="206">
        <f t="shared" si="37"/>
        <v>8</v>
      </c>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row>
    <row r="205" spans="2:41" x14ac:dyDescent="0.25">
      <c r="B205" s="533"/>
      <c r="C205" s="153"/>
      <c r="D205" s="153">
        <v>1</v>
      </c>
      <c r="E205" s="181">
        <v>40634</v>
      </c>
      <c r="F205" s="153">
        <v>3</v>
      </c>
      <c r="G205" s="203">
        <f t="shared" si="36"/>
        <v>675</v>
      </c>
      <c r="H205" s="153">
        <v>5</v>
      </c>
      <c r="I205" s="203">
        <f t="shared" si="38"/>
        <v>-2000</v>
      </c>
      <c r="J205" s="160">
        <v>0.1</v>
      </c>
      <c r="K205" s="127"/>
      <c r="L205" s="204">
        <f t="shared" si="39"/>
        <v>10000</v>
      </c>
      <c r="M205" s="204">
        <f t="shared" si="40"/>
        <v>13500</v>
      </c>
      <c r="N205" s="206">
        <f t="shared" si="37"/>
        <v>10</v>
      </c>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row>
    <row r="206" spans="2:41" x14ac:dyDescent="0.25">
      <c r="B206" s="533"/>
      <c r="C206" s="153"/>
      <c r="D206" s="153">
        <v>1</v>
      </c>
      <c r="E206" s="181">
        <v>40648</v>
      </c>
      <c r="F206" s="153">
        <v>3</v>
      </c>
      <c r="G206" s="203">
        <f t="shared" si="36"/>
        <v>675</v>
      </c>
      <c r="H206" s="153">
        <v>5</v>
      </c>
      <c r="I206" s="203">
        <f t="shared" si="38"/>
        <v>0</v>
      </c>
      <c r="J206" s="160">
        <v>0.01</v>
      </c>
      <c r="K206" s="127"/>
      <c r="L206" s="204">
        <f t="shared" si="39"/>
        <v>10000</v>
      </c>
      <c r="M206" s="204">
        <f t="shared" si="40"/>
        <v>13500</v>
      </c>
      <c r="N206" s="206">
        <f t="shared" si="37"/>
        <v>1</v>
      </c>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row>
    <row r="207" spans="2:41" x14ac:dyDescent="0.25">
      <c r="B207" s="533"/>
      <c r="C207" s="153"/>
      <c r="D207" s="153">
        <v>1</v>
      </c>
      <c r="E207" s="181">
        <v>40664</v>
      </c>
      <c r="F207" s="153">
        <v>5</v>
      </c>
      <c r="G207" s="203">
        <f t="shared" si="36"/>
        <v>1125</v>
      </c>
      <c r="H207" s="153">
        <v>7</v>
      </c>
      <c r="I207" s="203">
        <f t="shared" si="38"/>
        <v>266.66666666666669</v>
      </c>
      <c r="J207" s="160">
        <v>0.03</v>
      </c>
      <c r="K207" s="127"/>
      <c r="L207" s="204">
        <f t="shared" si="39"/>
        <v>14000</v>
      </c>
      <c r="M207" s="204">
        <f t="shared" si="40"/>
        <v>22500</v>
      </c>
      <c r="N207" s="206">
        <f t="shared" si="37"/>
        <v>3</v>
      </c>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row>
    <row r="208" spans="2:41" x14ac:dyDescent="0.25">
      <c r="B208" s="533"/>
      <c r="C208" s="153"/>
      <c r="D208" s="153">
        <v>1</v>
      </c>
      <c r="E208" s="181">
        <v>40678</v>
      </c>
      <c r="F208" s="153">
        <v>6</v>
      </c>
      <c r="G208" s="203">
        <f t="shared" si="36"/>
        <v>1350</v>
      </c>
      <c r="H208" s="153">
        <v>10</v>
      </c>
      <c r="I208" s="203">
        <f t="shared" si="38"/>
        <v>400</v>
      </c>
      <c r="J208" s="160">
        <v>0.05</v>
      </c>
      <c r="K208" s="127"/>
      <c r="L208" s="204">
        <f t="shared" si="39"/>
        <v>20000</v>
      </c>
      <c r="M208" s="204">
        <f t="shared" si="40"/>
        <v>27000</v>
      </c>
      <c r="N208" s="206">
        <f t="shared" si="37"/>
        <v>5</v>
      </c>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row>
    <row r="209" spans="2:41" x14ac:dyDescent="0.25">
      <c r="B209" s="533"/>
      <c r="C209" s="153"/>
      <c r="D209" s="153">
        <v>1</v>
      </c>
      <c r="E209" s="181">
        <v>40695</v>
      </c>
      <c r="F209" s="153">
        <v>7</v>
      </c>
      <c r="G209" s="203">
        <f t="shared" si="36"/>
        <v>1575</v>
      </c>
      <c r="H209" s="153">
        <v>14</v>
      </c>
      <c r="I209" s="203">
        <f t="shared" si="38"/>
        <v>533.33333333333337</v>
      </c>
      <c r="J209" s="160">
        <v>0.05</v>
      </c>
      <c r="K209" s="127"/>
      <c r="L209" s="204">
        <f t="shared" si="39"/>
        <v>28000</v>
      </c>
      <c r="M209" s="204">
        <f t="shared" si="40"/>
        <v>31500</v>
      </c>
      <c r="N209" s="206">
        <f t="shared" si="37"/>
        <v>5</v>
      </c>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row>
    <row r="210" spans="2:41" x14ac:dyDescent="0.25">
      <c r="B210" s="533"/>
      <c r="C210" s="153"/>
      <c r="D210" s="153">
        <v>1</v>
      </c>
      <c r="E210" s="181">
        <v>40709</v>
      </c>
      <c r="F210" s="153">
        <v>7</v>
      </c>
      <c r="G210" s="203">
        <f t="shared" si="36"/>
        <v>1575</v>
      </c>
      <c r="H210" s="153">
        <v>18</v>
      </c>
      <c r="I210" s="203">
        <f t="shared" si="38"/>
        <v>533.33333333333337</v>
      </c>
      <c r="J210" s="160">
        <v>0.05</v>
      </c>
      <c r="K210" s="127"/>
      <c r="L210" s="204">
        <f t="shared" si="39"/>
        <v>36000</v>
      </c>
      <c r="M210" s="204">
        <f t="shared" si="40"/>
        <v>31500</v>
      </c>
      <c r="N210" s="206">
        <f t="shared" si="37"/>
        <v>5</v>
      </c>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row>
    <row r="211" spans="2:41" x14ac:dyDescent="0.25">
      <c r="B211" s="533"/>
      <c r="C211" s="153"/>
      <c r="D211" s="153"/>
      <c r="E211" s="181">
        <v>40725</v>
      </c>
      <c r="F211" s="153">
        <v>6</v>
      </c>
      <c r="G211" s="203">
        <f t="shared" si="36"/>
        <v>1350</v>
      </c>
      <c r="H211" s="153">
        <v>21</v>
      </c>
      <c r="I211" s="203">
        <f t="shared" si="38"/>
        <v>400</v>
      </c>
      <c r="J211" s="160">
        <v>0.02</v>
      </c>
      <c r="K211" s="127"/>
      <c r="L211" s="204">
        <f t="shared" si="39"/>
        <v>42000</v>
      </c>
      <c r="M211" s="204">
        <f t="shared" si="40"/>
        <v>27000</v>
      </c>
      <c r="N211" s="206">
        <f t="shared" si="37"/>
        <v>2</v>
      </c>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row>
    <row r="212" spans="2:41" x14ac:dyDescent="0.25">
      <c r="B212" s="533"/>
      <c r="C212" s="153"/>
      <c r="D212" s="153"/>
      <c r="E212" s="181">
        <v>40739</v>
      </c>
      <c r="F212" s="153">
        <v>5</v>
      </c>
      <c r="G212" s="203">
        <f t="shared" si="36"/>
        <v>1125</v>
      </c>
      <c r="H212" s="156">
        <v>22</v>
      </c>
      <c r="I212" s="203">
        <f t="shared" si="38"/>
        <v>133.33333333333334</v>
      </c>
      <c r="J212" s="160">
        <v>0.01</v>
      </c>
      <c r="K212" s="127"/>
      <c r="L212" s="204">
        <f t="shared" si="39"/>
        <v>44000</v>
      </c>
      <c r="M212" s="204">
        <f t="shared" si="40"/>
        <v>22500</v>
      </c>
      <c r="N212" s="206">
        <f t="shared" si="37"/>
        <v>1</v>
      </c>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row>
    <row r="213" spans="2:41" x14ac:dyDescent="0.25">
      <c r="B213" s="533"/>
      <c r="C213" s="153"/>
      <c r="D213" s="153"/>
      <c r="E213" s="181">
        <v>40756</v>
      </c>
      <c r="F213" s="153">
        <v>3.5</v>
      </c>
      <c r="G213" s="203">
        <f t="shared" si="36"/>
        <v>787.5</v>
      </c>
      <c r="H213" s="153">
        <v>20</v>
      </c>
      <c r="I213" s="203">
        <f t="shared" si="38"/>
        <v>-266.66666666666669</v>
      </c>
      <c r="J213" s="160">
        <v>5.0000000000000001E-3</v>
      </c>
      <c r="K213" s="127"/>
      <c r="L213" s="204">
        <f t="shared" si="39"/>
        <v>40000</v>
      </c>
      <c r="M213" s="204">
        <f t="shared" si="40"/>
        <v>15750</v>
      </c>
      <c r="N213" s="206">
        <f t="shared" si="37"/>
        <v>0.5</v>
      </c>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row>
    <row r="214" spans="2:41" x14ac:dyDescent="0.25">
      <c r="B214" s="533"/>
      <c r="C214" s="153"/>
      <c r="D214" s="153"/>
      <c r="E214" s="181">
        <v>40770</v>
      </c>
      <c r="F214" s="153">
        <v>3.5</v>
      </c>
      <c r="G214" s="203">
        <f t="shared" si="36"/>
        <v>787.5</v>
      </c>
      <c r="H214" s="153">
        <v>17</v>
      </c>
      <c r="I214" s="203">
        <f t="shared" si="38"/>
        <v>-400</v>
      </c>
      <c r="J214" s="160">
        <v>5.0000000000000001E-3</v>
      </c>
      <c r="K214" s="127"/>
      <c r="L214" s="204">
        <f t="shared" si="39"/>
        <v>34000</v>
      </c>
      <c r="M214" s="204">
        <f t="shared" si="40"/>
        <v>15750</v>
      </c>
      <c r="N214" s="206">
        <f t="shared" si="37"/>
        <v>0.5</v>
      </c>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row>
    <row r="215" spans="2:41" x14ac:dyDescent="0.25">
      <c r="B215" s="533"/>
      <c r="C215" s="153"/>
      <c r="D215" s="153"/>
      <c r="E215" s="181">
        <v>40787</v>
      </c>
      <c r="F215" s="153">
        <v>2</v>
      </c>
      <c r="G215" s="203">
        <f t="shared" si="36"/>
        <v>450</v>
      </c>
      <c r="H215" s="153">
        <v>14</v>
      </c>
      <c r="I215" s="203">
        <f t="shared" si="38"/>
        <v>-400</v>
      </c>
      <c r="J215" s="160">
        <v>2.5000000000000001E-3</v>
      </c>
      <c r="K215" s="127"/>
      <c r="L215" s="204">
        <f t="shared" si="39"/>
        <v>28000</v>
      </c>
      <c r="M215" s="204">
        <f t="shared" si="40"/>
        <v>9000</v>
      </c>
      <c r="N215" s="206">
        <f t="shared" si="37"/>
        <v>0.25</v>
      </c>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row>
    <row r="216" spans="2:41" x14ac:dyDescent="0.25">
      <c r="B216" s="533"/>
      <c r="C216" s="153"/>
      <c r="D216" s="153"/>
      <c r="E216" s="181">
        <v>40801</v>
      </c>
      <c r="F216" s="153">
        <v>3</v>
      </c>
      <c r="G216" s="203">
        <f t="shared" si="36"/>
        <v>675</v>
      </c>
      <c r="H216" s="153">
        <v>12</v>
      </c>
      <c r="I216" s="203">
        <f t="shared" si="38"/>
        <v>-266.66666666666669</v>
      </c>
      <c r="J216" s="160">
        <v>0</v>
      </c>
      <c r="K216" s="127"/>
      <c r="L216" s="204">
        <f t="shared" si="39"/>
        <v>24000</v>
      </c>
      <c r="M216" s="204">
        <f t="shared" si="40"/>
        <v>13500</v>
      </c>
      <c r="N216" s="206">
        <f t="shared" si="37"/>
        <v>0</v>
      </c>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row>
    <row r="217" spans="2:41" x14ac:dyDescent="0.25">
      <c r="B217" s="533"/>
      <c r="C217" s="153"/>
      <c r="D217" s="153">
        <v>1</v>
      </c>
      <c r="E217" s="181">
        <v>40817</v>
      </c>
      <c r="F217" s="153">
        <v>3</v>
      </c>
      <c r="G217" s="203">
        <f t="shared" si="36"/>
        <v>675</v>
      </c>
      <c r="H217" s="153">
        <v>10</v>
      </c>
      <c r="I217" s="203">
        <f t="shared" si="38"/>
        <v>-266.66666666666669</v>
      </c>
      <c r="J217" s="160">
        <v>0</v>
      </c>
      <c r="K217" s="127"/>
      <c r="L217" s="204">
        <f t="shared" si="39"/>
        <v>20000</v>
      </c>
      <c r="M217" s="204">
        <f t="shared" si="40"/>
        <v>13500</v>
      </c>
      <c r="N217" s="206">
        <f t="shared" si="37"/>
        <v>0</v>
      </c>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row>
    <row r="218" spans="2:41" x14ac:dyDescent="0.25">
      <c r="B218" s="533"/>
      <c r="C218" s="153"/>
      <c r="D218" s="153">
        <v>1</v>
      </c>
      <c r="E218" s="181">
        <v>40831</v>
      </c>
      <c r="F218" s="153">
        <v>2.5</v>
      </c>
      <c r="G218" s="203">
        <f t="shared" si="36"/>
        <v>562.5</v>
      </c>
      <c r="H218" s="153">
        <v>9</v>
      </c>
      <c r="I218" s="203">
        <f t="shared" si="38"/>
        <v>-133.33333333333334</v>
      </c>
      <c r="J218" s="160">
        <v>0</v>
      </c>
      <c r="K218" s="127"/>
      <c r="L218" s="204">
        <f t="shared" si="39"/>
        <v>18000</v>
      </c>
      <c r="M218" s="204">
        <f t="shared" si="40"/>
        <v>11250</v>
      </c>
      <c r="N218" s="206">
        <f t="shared" si="37"/>
        <v>0</v>
      </c>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row>
    <row r="219" spans="2:41" x14ac:dyDescent="0.25">
      <c r="B219" s="533"/>
      <c r="C219" s="153">
        <v>1</v>
      </c>
      <c r="D219" s="153"/>
      <c r="E219" s="181">
        <v>40848</v>
      </c>
      <c r="F219" s="153">
        <v>2</v>
      </c>
      <c r="G219" s="203">
        <f t="shared" si="36"/>
        <v>450</v>
      </c>
      <c r="H219" s="153">
        <v>8</v>
      </c>
      <c r="I219" s="203">
        <f t="shared" si="38"/>
        <v>-133.33333333333334</v>
      </c>
      <c r="J219" s="160">
        <v>0</v>
      </c>
      <c r="K219" s="127"/>
      <c r="L219" s="204">
        <f t="shared" si="39"/>
        <v>16000</v>
      </c>
      <c r="M219" s="204">
        <f t="shared" si="40"/>
        <v>9000</v>
      </c>
      <c r="N219" s="206">
        <f t="shared" si="37"/>
        <v>0</v>
      </c>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row>
    <row r="220" spans="2:41" x14ac:dyDescent="0.25">
      <c r="B220" s="533"/>
      <c r="C220" s="153">
        <v>1</v>
      </c>
      <c r="D220" s="153"/>
      <c r="E220" s="181">
        <v>40862</v>
      </c>
      <c r="F220" s="153">
        <v>0.5</v>
      </c>
      <c r="G220" s="203">
        <f t="shared" si="36"/>
        <v>112.5</v>
      </c>
      <c r="H220" s="153">
        <v>7</v>
      </c>
      <c r="I220" s="203">
        <f t="shared" si="38"/>
        <v>-133.33333333333334</v>
      </c>
      <c r="J220" s="160">
        <v>0</v>
      </c>
      <c r="K220" s="127"/>
      <c r="L220" s="204">
        <f t="shared" si="39"/>
        <v>14000</v>
      </c>
      <c r="M220" s="204">
        <f t="shared" si="40"/>
        <v>2250</v>
      </c>
      <c r="N220" s="206">
        <f t="shared" si="37"/>
        <v>0</v>
      </c>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row>
    <row r="221" spans="2:41" x14ac:dyDescent="0.25">
      <c r="B221" s="533"/>
      <c r="C221" s="153">
        <v>1</v>
      </c>
      <c r="D221" s="153"/>
      <c r="E221" s="181">
        <v>40878</v>
      </c>
      <c r="F221" s="153">
        <v>0.5</v>
      </c>
      <c r="G221" s="203">
        <f t="shared" si="36"/>
        <v>112.5</v>
      </c>
      <c r="H221" s="153">
        <v>8</v>
      </c>
      <c r="I221" s="203">
        <f t="shared" si="38"/>
        <v>133.33333333333334</v>
      </c>
      <c r="J221" s="160">
        <v>0</v>
      </c>
      <c r="K221" s="127"/>
      <c r="L221" s="204">
        <f t="shared" si="39"/>
        <v>16000</v>
      </c>
      <c r="M221" s="204">
        <f t="shared" si="40"/>
        <v>2250</v>
      </c>
      <c r="N221" s="206">
        <f t="shared" si="37"/>
        <v>0</v>
      </c>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row>
    <row r="222" spans="2:41" x14ac:dyDescent="0.25">
      <c r="B222" s="533"/>
      <c r="C222" s="153">
        <v>1</v>
      </c>
      <c r="D222" s="153"/>
      <c r="E222" s="181">
        <v>40892</v>
      </c>
      <c r="F222" s="153">
        <v>0</v>
      </c>
      <c r="G222" s="203">
        <f t="shared" si="36"/>
        <v>0</v>
      </c>
      <c r="H222" s="153">
        <v>8</v>
      </c>
      <c r="I222" s="203">
        <f t="shared" si="38"/>
        <v>0</v>
      </c>
      <c r="J222" s="160">
        <v>0</v>
      </c>
      <c r="K222" s="127"/>
      <c r="L222" s="204">
        <f t="shared" si="39"/>
        <v>16000</v>
      </c>
      <c r="M222" s="204">
        <f t="shared" si="40"/>
        <v>0</v>
      </c>
      <c r="N222" s="206">
        <f t="shared" si="37"/>
        <v>0</v>
      </c>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row>
    <row r="223" spans="2:41" x14ac:dyDescent="0.25">
      <c r="B223" s="127"/>
      <c r="E223" s="314">
        <v>43100</v>
      </c>
      <c r="F223" s="300">
        <v>0</v>
      </c>
      <c r="G223" s="300">
        <f>H199</f>
        <v>8</v>
      </c>
      <c r="H223" s="300">
        <v>8</v>
      </c>
      <c r="I223" s="300">
        <f>J199</f>
        <v>0</v>
      </c>
      <c r="J223" s="334">
        <f>K199</f>
        <v>0</v>
      </c>
      <c r="K223" s="300"/>
      <c r="L223" s="300">
        <f>M199</f>
        <v>2250</v>
      </c>
      <c r="M223" s="300">
        <f>N199</f>
        <v>0</v>
      </c>
      <c r="N223" s="315">
        <f>O199</f>
        <v>0</v>
      </c>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row>
    <row r="224" spans="2:41" x14ac:dyDescent="0.25">
      <c r="B224" s="127"/>
      <c r="E224" s="127"/>
      <c r="G224" s="127"/>
      <c r="I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row>
    <row r="225" spans="2:41" x14ac:dyDescent="0.25">
      <c r="B225" s="127"/>
      <c r="E225" s="127"/>
      <c r="G225" s="127"/>
      <c r="I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row>
    <row r="226" spans="2:41" ht="187.5" x14ac:dyDescent="0.25">
      <c r="B226" s="194" t="s">
        <v>204</v>
      </c>
      <c r="C226" s="151" t="s">
        <v>45</v>
      </c>
      <c r="D226" s="151" t="s">
        <v>46</v>
      </c>
      <c r="E226" s="196" t="s">
        <v>38</v>
      </c>
      <c r="F226" s="154" t="s">
        <v>39</v>
      </c>
      <c r="G226" s="198" t="s">
        <v>84</v>
      </c>
      <c r="H226" s="155" t="s">
        <v>86</v>
      </c>
      <c r="I226" s="200" t="s">
        <v>85</v>
      </c>
      <c r="J226" s="336" t="s">
        <v>40</v>
      </c>
      <c r="K226" s="127"/>
      <c r="L226" s="199" t="s">
        <v>42</v>
      </c>
      <c r="M226" s="197" t="s">
        <v>43</v>
      </c>
      <c r="N226" s="201" t="s">
        <v>87</v>
      </c>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row>
    <row r="227" spans="2:41" ht="13" x14ac:dyDescent="0.3">
      <c r="B227" s="534"/>
      <c r="C227" s="114">
        <v>1</v>
      </c>
      <c r="D227" s="114"/>
      <c r="E227" s="181">
        <v>40544</v>
      </c>
      <c r="F227" s="114">
        <v>0</v>
      </c>
      <c r="G227" s="203">
        <f t="shared" ref="G227:G250" si="41">M227/20</f>
        <v>0</v>
      </c>
      <c r="H227" s="114">
        <v>8</v>
      </c>
      <c r="I227" s="204"/>
      <c r="J227" s="332">
        <v>0</v>
      </c>
      <c r="K227" s="127"/>
      <c r="L227" s="204">
        <f>H227*$M$2</f>
        <v>16000</v>
      </c>
      <c r="M227" s="204">
        <f>F227*$M$3</f>
        <v>0</v>
      </c>
      <c r="N227" s="206">
        <f t="shared" ref="N227:N250" si="42">J227*100</f>
        <v>0</v>
      </c>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row>
    <row r="228" spans="2:41" ht="13" x14ac:dyDescent="0.3">
      <c r="B228" s="534"/>
      <c r="C228" s="114">
        <v>1</v>
      </c>
      <c r="D228" s="114"/>
      <c r="E228" s="181">
        <v>40558</v>
      </c>
      <c r="F228" s="114">
        <v>0.25</v>
      </c>
      <c r="G228" s="203">
        <f t="shared" si="41"/>
        <v>56.25</v>
      </c>
      <c r="H228" s="114">
        <v>8</v>
      </c>
      <c r="I228" s="203">
        <f t="shared" ref="I228:I250" si="43">(L228-L227)/15</f>
        <v>0</v>
      </c>
      <c r="J228" s="332">
        <v>0</v>
      </c>
      <c r="K228" s="127"/>
      <c r="L228" s="204">
        <f t="shared" ref="L228:L250" si="44">H228*$M$2</f>
        <v>16000</v>
      </c>
      <c r="M228" s="204">
        <f t="shared" ref="M228:M250" si="45">F228*$M$3</f>
        <v>1125</v>
      </c>
      <c r="N228" s="206">
        <f t="shared" si="42"/>
        <v>0</v>
      </c>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row>
    <row r="229" spans="2:41" ht="13" x14ac:dyDescent="0.3">
      <c r="B229" s="534"/>
      <c r="C229" s="114">
        <v>1</v>
      </c>
      <c r="D229" s="114"/>
      <c r="E229" s="181">
        <v>40575</v>
      </c>
      <c r="F229" s="114">
        <v>0.5</v>
      </c>
      <c r="G229" s="203">
        <f t="shared" si="41"/>
        <v>112.5</v>
      </c>
      <c r="H229" s="114">
        <v>8</v>
      </c>
      <c r="I229" s="203">
        <f t="shared" si="43"/>
        <v>0</v>
      </c>
      <c r="J229" s="332">
        <v>0</v>
      </c>
      <c r="K229" s="127"/>
      <c r="L229" s="204">
        <f t="shared" si="44"/>
        <v>16000</v>
      </c>
      <c r="M229" s="204">
        <f t="shared" si="45"/>
        <v>2250</v>
      </c>
      <c r="N229" s="206">
        <f t="shared" si="42"/>
        <v>0</v>
      </c>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row>
    <row r="230" spans="2:41" ht="13" x14ac:dyDescent="0.3">
      <c r="B230" s="534"/>
      <c r="C230" s="114">
        <v>1</v>
      </c>
      <c r="D230" s="114"/>
      <c r="E230" s="181">
        <v>40589</v>
      </c>
      <c r="F230" s="114">
        <v>0.5</v>
      </c>
      <c r="G230" s="203">
        <f t="shared" si="41"/>
        <v>112.5</v>
      </c>
      <c r="H230" s="114">
        <v>7</v>
      </c>
      <c r="I230" s="203">
        <f t="shared" si="43"/>
        <v>-133.33333333333334</v>
      </c>
      <c r="J230" s="332">
        <v>0</v>
      </c>
      <c r="K230" s="127"/>
      <c r="L230" s="204">
        <f t="shared" si="44"/>
        <v>14000</v>
      </c>
      <c r="M230" s="204">
        <f t="shared" si="45"/>
        <v>2250</v>
      </c>
      <c r="N230" s="206">
        <f t="shared" si="42"/>
        <v>0</v>
      </c>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row>
    <row r="231" spans="2:41" ht="13" x14ac:dyDescent="0.3">
      <c r="B231" s="534"/>
      <c r="C231" s="114">
        <v>1</v>
      </c>
      <c r="D231" s="114"/>
      <c r="E231" s="181">
        <v>40603</v>
      </c>
      <c r="F231" s="114">
        <v>1</v>
      </c>
      <c r="G231" s="203">
        <f t="shared" si="41"/>
        <v>225</v>
      </c>
      <c r="H231" s="114">
        <v>7</v>
      </c>
      <c r="I231" s="203">
        <f t="shared" si="43"/>
        <v>0</v>
      </c>
      <c r="J231" s="332">
        <v>0</v>
      </c>
      <c r="K231" s="127"/>
      <c r="L231" s="204">
        <f t="shared" si="44"/>
        <v>14000</v>
      </c>
      <c r="M231" s="204">
        <f t="shared" si="45"/>
        <v>4500</v>
      </c>
      <c r="N231" s="206">
        <f t="shared" si="42"/>
        <v>0</v>
      </c>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row>
    <row r="232" spans="2:41" ht="13" x14ac:dyDescent="0.3">
      <c r="B232" s="534"/>
      <c r="C232" s="114">
        <v>1</v>
      </c>
      <c r="D232" s="114"/>
      <c r="E232" s="181">
        <v>40617</v>
      </c>
      <c r="F232" s="114">
        <v>2</v>
      </c>
      <c r="G232" s="203">
        <f t="shared" si="41"/>
        <v>450</v>
      </c>
      <c r="H232" s="114">
        <v>6</v>
      </c>
      <c r="I232" s="203">
        <f t="shared" si="43"/>
        <v>-133.33333333333334</v>
      </c>
      <c r="J232" s="332">
        <v>0.02</v>
      </c>
      <c r="K232" s="127"/>
      <c r="L232" s="204">
        <f t="shared" si="44"/>
        <v>12000</v>
      </c>
      <c r="M232" s="204">
        <f t="shared" si="45"/>
        <v>9000</v>
      </c>
      <c r="N232" s="206">
        <f t="shared" si="42"/>
        <v>2</v>
      </c>
      <c r="O232" s="127"/>
      <c r="P232" s="127"/>
      <c r="Q232" s="127"/>
      <c r="R232" s="127"/>
      <c r="S232" s="127"/>
      <c r="T232" s="127"/>
      <c r="U232" s="127"/>
      <c r="V232" s="127"/>
      <c r="W232" s="209"/>
      <c r="X232" s="209"/>
      <c r="Y232" s="209"/>
      <c r="Z232" s="209"/>
      <c r="AA232" s="127"/>
      <c r="AB232" s="127"/>
      <c r="AC232" s="127"/>
      <c r="AD232" s="127"/>
      <c r="AE232" s="127"/>
      <c r="AF232" s="127"/>
      <c r="AG232" s="127"/>
      <c r="AH232" s="127"/>
      <c r="AI232" s="127"/>
      <c r="AJ232" s="127"/>
      <c r="AK232" s="127"/>
      <c r="AL232" s="127"/>
      <c r="AM232" s="127"/>
      <c r="AN232" s="127"/>
      <c r="AO232" s="127"/>
    </row>
    <row r="233" spans="2:41" ht="13" x14ac:dyDescent="0.3">
      <c r="B233" s="534"/>
      <c r="C233" s="114"/>
      <c r="D233" s="114">
        <v>1</v>
      </c>
      <c r="E233" s="181">
        <v>40634</v>
      </c>
      <c r="F233" s="114">
        <v>3</v>
      </c>
      <c r="G233" s="203">
        <f t="shared" si="41"/>
        <v>675</v>
      </c>
      <c r="H233" s="114">
        <v>6</v>
      </c>
      <c r="I233" s="203">
        <f t="shared" si="43"/>
        <v>0</v>
      </c>
      <c r="J233" s="332">
        <v>0.03</v>
      </c>
      <c r="K233" s="127"/>
      <c r="L233" s="204">
        <f t="shared" si="44"/>
        <v>12000</v>
      </c>
      <c r="M233" s="204">
        <f t="shared" si="45"/>
        <v>13500</v>
      </c>
      <c r="N233" s="206">
        <f t="shared" si="42"/>
        <v>3</v>
      </c>
      <c r="O233" s="127"/>
      <c r="P233" s="127"/>
      <c r="Q233" s="127"/>
      <c r="R233" s="127"/>
      <c r="S233" s="127"/>
      <c r="T233" s="127"/>
      <c r="U233" s="127"/>
      <c r="V233" s="127"/>
      <c r="W233" s="209"/>
      <c r="X233" s="209"/>
      <c r="Y233" s="209"/>
      <c r="Z233" s="209"/>
      <c r="AA233" s="127"/>
      <c r="AB233" s="127"/>
      <c r="AC233" s="127"/>
      <c r="AD233" s="127"/>
      <c r="AE233" s="127"/>
      <c r="AF233" s="127"/>
      <c r="AG233" s="127"/>
      <c r="AH233" s="127"/>
      <c r="AI233" s="127"/>
      <c r="AJ233" s="127"/>
      <c r="AK233" s="127"/>
      <c r="AL233" s="127"/>
      <c r="AM233" s="127"/>
      <c r="AN233" s="127"/>
      <c r="AO233" s="127"/>
    </row>
    <row r="234" spans="2:41" ht="13" x14ac:dyDescent="0.3">
      <c r="B234" s="534"/>
      <c r="C234" s="114"/>
      <c r="D234" s="114">
        <v>1</v>
      </c>
      <c r="E234" s="181">
        <v>40648</v>
      </c>
      <c r="F234" s="114">
        <v>5</v>
      </c>
      <c r="G234" s="203">
        <f t="shared" si="41"/>
        <v>1125</v>
      </c>
      <c r="H234" s="114">
        <v>8</v>
      </c>
      <c r="I234" s="203">
        <f t="shared" si="43"/>
        <v>266.66666666666669</v>
      </c>
      <c r="J234" s="332">
        <v>0.06</v>
      </c>
      <c r="K234" s="127"/>
      <c r="L234" s="204">
        <f t="shared" si="44"/>
        <v>16000</v>
      </c>
      <c r="M234" s="204">
        <f t="shared" si="45"/>
        <v>22500</v>
      </c>
      <c r="N234" s="206">
        <f t="shared" si="42"/>
        <v>6</v>
      </c>
      <c r="O234" s="127"/>
      <c r="P234" s="127"/>
      <c r="Q234" s="127"/>
      <c r="R234" s="127"/>
      <c r="S234" s="127"/>
      <c r="T234" s="127"/>
      <c r="U234" s="127"/>
      <c r="V234" s="127"/>
      <c r="W234" s="209"/>
      <c r="X234" s="209"/>
      <c r="Y234" s="209"/>
      <c r="Z234" s="209"/>
      <c r="AA234" s="127"/>
      <c r="AB234" s="127"/>
      <c r="AC234" s="127"/>
      <c r="AD234" s="127"/>
      <c r="AE234" s="127"/>
      <c r="AF234" s="127"/>
      <c r="AG234" s="127"/>
      <c r="AH234" s="127"/>
      <c r="AI234" s="127"/>
      <c r="AJ234" s="127"/>
      <c r="AK234" s="127"/>
      <c r="AL234" s="127"/>
      <c r="AM234" s="127"/>
      <c r="AN234" s="127"/>
      <c r="AO234" s="127"/>
    </row>
    <row r="235" spans="2:41" ht="13" x14ac:dyDescent="0.3">
      <c r="B235" s="534"/>
      <c r="C235" s="114"/>
      <c r="D235" s="114">
        <v>1</v>
      </c>
      <c r="E235" s="181">
        <v>40664</v>
      </c>
      <c r="F235" s="114">
        <v>7</v>
      </c>
      <c r="G235" s="203">
        <f t="shared" si="41"/>
        <v>1575</v>
      </c>
      <c r="H235" s="114">
        <v>10</v>
      </c>
      <c r="I235" s="203">
        <f t="shared" si="43"/>
        <v>266.66666666666669</v>
      </c>
      <c r="J235" s="332">
        <v>0.1</v>
      </c>
      <c r="K235" s="127"/>
      <c r="L235" s="204">
        <f t="shared" si="44"/>
        <v>20000</v>
      </c>
      <c r="M235" s="204">
        <f t="shared" si="45"/>
        <v>31500</v>
      </c>
      <c r="N235" s="206">
        <f t="shared" si="42"/>
        <v>10</v>
      </c>
      <c r="O235" s="127"/>
      <c r="P235" s="127"/>
      <c r="Q235" s="127"/>
      <c r="R235" s="127"/>
      <c r="S235" s="127"/>
      <c r="T235" s="127"/>
      <c r="U235" s="127"/>
      <c r="V235" s="127"/>
      <c r="W235" s="209"/>
      <c r="X235" s="209"/>
      <c r="Y235" s="209"/>
      <c r="Z235" s="209"/>
      <c r="AA235" s="127"/>
      <c r="AB235" s="127"/>
      <c r="AC235" s="127"/>
      <c r="AD235" s="127"/>
      <c r="AE235" s="127"/>
      <c r="AF235" s="127"/>
      <c r="AG235" s="127"/>
      <c r="AH235" s="127"/>
      <c r="AI235" s="127"/>
      <c r="AJ235" s="127"/>
      <c r="AK235" s="127"/>
      <c r="AL235" s="127"/>
      <c r="AM235" s="127"/>
      <c r="AN235" s="127"/>
      <c r="AO235" s="127"/>
    </row>
    <row r="236" spans="2:41" ht="13" x14ac:dyDescent="0.3">
      <c r="B236" s="534"/>
      <c r="C236" s="114"/>
      <c r="D236" s="114">
        <v>1</v>
      </c>
      <c r="E236" s="181">
        <v>40678</v>
      </c>
      <c r="F236" s="114">
        <v>2</v>
      </c>
      <c r="G236" s="203">
        <f t="shared" si="41"/>
        <v>450</v>
      </c>
      <c r="H236" s="114">
        <v>14</v>
      </c>
      <c r="I236" s="203">
        <f t="shared" si="43"/>
        <v>533.33333333333337</v>
      </c>
      <c r="J236" s="332">
        <v>0.1</v>
      </c>
      <c r="K236" s="127"/>
      <c r="L236" s="204">
        <f t="shared" si="44"/>
        <v>28000</v>
      </c>
      <c r="M236" s="204">
        <f t="shared" si="45"/>
        <v>9000</v>
      </c>
      <c r="N236" s="206">
        <f t="shared" si="42"/>
        <v>10</v>
      </c>
      <c r="O236" s="127"/>
      <c r="P236" s="127"/>
      <c r="Q236" s="127"/>
      <c r="R236" s="127"/>
      <c r="S236" s="127"/>
      <c r="T236" s="127"/>
      <c r="U236" s="127"/>
      <c r="V236" s="127"/>
      <c r="W236" s="209"/>
      <c r="X236" s="209"/>
      <c r="Y236" s="209"/>
      <c r="Z236" s="209"/>
      <c r="AA236" s="127"/>
      <c r="AB236" s="127"/>
      <c r="AC236" s="127"/>
      <c r="AD236" s="127"/>
      <c r="AE236" s="127"/>
      <c r="AF236" s="127"/>
      <c r="AG236" s="127"/>
      <c r="AH236" s="127"/>
      <c r="AI236" s="127"/>
      <c r="AJ236" s="127"/>
      <c r="AK236" s="127"/>
      <c r="AL236" s="127"/>
      <c r="AM236" s="127"/>
      <c r="AN236" s="127"/>
      <c r="AO236" s="127"/>
    </row>
    <row r="237" spans="2:41" ht="13" x14ac:dyDescent="0.3">
      <c r="B237" s="534"/>
      <c r="C237" s="114"/>
      <c r="D237" s="114">
        <v>1</v>
      </c>
      <c r="E237" s="181">
        <v>40695</v>
      </c>
      <c r="F237" s="114">
        <v>6</v>
      </c>
      <c r="G237" s="203">
        <f t="shared" si="41"/>
        <v>1350</v>
      </c>
      <c r="H237" s="114">
        <v>8</v>
      </c>
      <c r="I237" s="203">
        <f t="shared" si="43"/>
        <v>-800</v>
      </c>
      <c r="J237" s="332">
        <v>0.05</v>
      </c>
      <c r="K237" s="127"/>
      <c r="L237" s="204">
        <f t="shared" si="44"/>
        <v>16000</v>
      </c>
      <c r="M237" s="204">
        <f t="shared" si="45"/>
        <v>27000</v>
      </c>
      <c r="N237" s="206">
        <f t="shared" si="42"/>
        <v>5</v>
      </c>
      <c r="O237" s="127"/>
      <c r="P237" s="127"/>
      <c r="Q237" s="127"/>
      <c r="R237" s="127"/>
      <c r="S237" s="127"/>
      <c r="T237" s="127"/>
      <c r="U237" s="127"/>
      <c r="V237" s="127"/>
      <c r="W237" s="209"/>
      <c r="X237" s="209"/>
      <c r="Y237" s="209"/>
      <c r="Z237" s="209"/>
      <c r="AA237" s="127"/>
      <c r="AB237" s="127"/>
      <c r="AC237" s="127"/>
      <c r="AD237" s="127"/>
      <c r="AE237" s="127"/>
      <c r="AF237" s="127"/>
      <c r="AG237" s="127"/>
      <c r="AH237" s="127"/>
      <c r="AI237" s="127"/>
      <c r="AJ237" s="127"/>
      <c r="AK237" s="127"/>
      <c r="AL237" s="127"/>
      <c r="AM237" s="127"/>
      <c r="AN237" s="127"/>
      <c r="AO237" s="127"/>
    </row>
    <row r="238" spans="2:41" ht="13" x14ac:dyDescent="0.3">
      <c r="B238" s="534"/>
      <c r="C238" s="114"/>
      <c r="D238" s="114">
        <v>1</v>
      </c>
      <c r="E238" s="181">
        <v>40709</v>
      </c>
      <c r="F238" s="114">
        <v>6</v>
      </c>
      <c r="G238" s="203">
        <f t="shared" si="41"/>
        <v>1350</v>
      </c>
      <c r="H238" s="114">
        <v>12</v>
      </c>
      <c r="I238" s="203">
        <f t="shared" si="43"/>
        <v>533.33333333333337</v>
      </c>
      <c r="J238" s="332">
        <v>0.05</v>
      </c>
      <c r="K238" s="127"/>
      <c r="L238" s="204">
        <f t="shared" si="44"/>
        <v>24000</v>
      </c>
      <c r="M238" s="204">
        <f t="shared" si="45"/>
        <v>27000</v>
      </c>
      <c r="N238" s="206">
        <f t="shared" si="42"/>
        <v>5</v>
      </c>
      <c r="O238" s="127"/>
      <c r="P238" s="127"/>
      <c r="Q238" s="127"/>
      <c r="R238" s="127"/>
      <c r="S238" s="127"/>
      <c r="T238" s="127"/>
      <c r="U238" s="127"/>
      <c r="V238" s="127"/>
      <c r="W238" s="209"/>
      <c r="X238" s="209"/>
      <c r="Y238" s="209"/>
      <c r="Z238" s="209"/>
      <c r="AA238" s="127"/>
      <c r="AB238" s="127"/>
      <c r="AC238" s="127"/>
      <c r="AD238" s="127"/>
      <c r="AE238" s="127"/>
      <c r="AF238" s="127"/>
      <c r="AG238" s="127"/>
      <c r="AH238" s="127"/>
      <c r="AI238" s="127"/>
      <c r="AJ238" s="127"/>
      <c r="AK238" s="127"/>
      <c r="AL238" s="127"/>
      <c r="AM238" s="127"/>
      <c r="AN238" s="127"/>
      <c r="AO238" s="127"/>
    </row>
    <row r="239" spans="2:41" ht="13" x14ac:dyDescent="0.3">
      <c r="B239" s="534"/>
      <c r="C239" s="114"/>
      <c r="D239" s="114">
        <v>1</v>
      </c>
      <c r="E239" s="181">
        <v>40725</v>
      </c>
      <c r="F239" s="114">
        <v>5.5</v>
      </c>
      <c r="G239" s="203">
        <f t="shared" si="41"/>
        <v>1237.5</v>
      </c>
      <c r="H239" s="114">
        <v>16</v>
      </c>
      <c r="I239" s="203">
        <f t="shared" si="43"/>
        <v>533.33333333333337</v>
      </c>
      <c r="J239" s="332">
        <v>0.05</v>
      </c>
      <c r="K239" s="127"/>
      <c r="L239" s="204">
        <f t="shared" si="44"/>
        <v>32000</v>
      </c>
      <c r="M239" s="204">
        <f t="shared" si="45"/>
        <v>24750</v>
      </c>
      <c r="N239" s="206">
        <f t="shared" si="42"/>
        <v>5</v>
      </c>
      <c r="O239" s="127"/>
      <c r="P239" s="127"/>
      <c r="Q239" s="127"/>
      <c r="R239" s="127"/>
      <c r="S239" s="127"/>
      <c r="T239" s="127"/>
      <c r="U239" s="127"/>
      <c r="V239" s="127"/>
      <c r="W239" s="209"/>
      <c r="X239" s="209"/>
      <c r="Y239" s="209"/>
      <c r="Z239" s="209"/>
      <c r="AA239" s="127"/>
      <c r="AB239" s="127"/>
      <c r="AC239" s="127"/>
      <c r="AD239" s="127"/>
      <c r="AE239" s="127"/>
      <c r="AF239" s="127"/>
      <c r="AG239" s="127"/>
      <c r="AH239" s="127"/>
      <c r="AI239" s="127"/>
      <c r="AJ239" s="127"/>
      <c r="AK239" s="127"/>
      <c r="AL239" s="127"/>
      <c r="AM239" s="127"/>
      <c r="AN239" s="127"/>
      <c r="AO239" s="127"/>
    </row>
    <row r="240" spans="2:41" ht="13" x14ac:dyDescent="0.3">
      <c r="B240" s="534"/>
      <c r="C240" s="114"/>
      <c r="D240" s="114">
        <v>1</v>
      </c>
      <c r="E240" s="181">
        <v>40739</v>
      </c>
      <c r="F240" s="114">
        <v>5</v>
      </c>
      <c r="G240" s="203">
        <f t="shared" si="41"/>
        <v>1125</v>
      </c>
      <c r="H240" s="114">
        <v>21</v>
      </c>
      <c r="I240" s="203">
        <f t="shared" si="43"/>
        <v>666.66666666666663</v>
      </c>
      <c r="J240" s="332">
        <v>0.05</v>
      </c>
      <c r="K240" s="127"/>
      <c r="L240" s="204">
        <f t="shared" si="44"/>
        <v>42000</v>
      </c>
      <c r="M240" s="204">
        <f t="shared" si="45"/>
        <v>22500</v>
      </c>
      <c r="N240" s="206">
        <f t="shared" si="42"/>
        <v>5</v>
      </c>
      <c r="O240" s="127"/>
      <c r="P240" s="127"/>
      <c r="Q240" s="127"/>
      <c r="R240" s="127"/>
      <c r="S240" s="127"/>
      <c r="T240" s="127"/>
      <c r="U240" s="127"/>
      <c r="V240" s="127"/>
      <c r="W240" s="209"/>
      <c r="X240" s="209"/>
      <c r="Y240" s="209"/>
      <c r="Z240" s="209"/>
      <c r="AA240" s="127"/>
      <c r="AB240" s="127"/>
      <c r="AC240" s="127"/>
      <c r="AD240" s="127"/>
      <c r="AE240" s="127"/>
      <c r="AF240" s="127"/>
      <c r="AG240" s="127"/>
      <c r="AH240" s="127"/>
      <c r="AI240" s="127"/>
      <c r="AJ240" s="127"/>
      <c r="AK240" s="127"/>
      <c r="AL240" s="127"/>
      <c r="AM240" s="127"/>
      <c r="AN240" s="127"/>
      <c r="AO240" s="127"/>
    </row>
    <row r="241" spans="2:41" ht="13" x14ac:dyDescent="0.3">
      <c r="B241" s="534"/>
      <c r="C241" s="114"/>
      <c r="D241" s="114">
        <v>1</v>
      </c>
      <c r="E241" s="181">
        <v>40756</v>
      </c>
      <c r="F241" s="114">
        <v>4.5</v>
      </c>
      <c r="G241" s="203">
        <f t="shared" si="41"/>
        <v>1012.5</v>
      </c>
      <c r="H241" s="114">
        <v>22</v>
      </c>
      <c r="I241" s="203">
        <f t="shared" si="43"/>
        <v>133.33333333333334</v>
      </c>
      <c r="J241" s="332">
        <v>0.05</v>
      </c>
      <c r="K241" s="127"/>
      <c r="L241" s="204">
        <f t="shared" si="44"/>
        <v>44000</v>
      </c>
      <c r="M241" s="204">
        <f t="shared" si="45"/>
        <v>20250</v>
      </c>
      <c r="N241" s="206">
        <f t="shared" si="42"/>
        <v>5</v>
      </c>
      <c r="O241" s="127"/>
      <c r="P241" s="127"/>
      <c r="Q241" s="127"/>
      <c r="R241" s="127"/>
      <c r="S241" s="127"/>
      <c r="T241" s="127"/>
      <c r="U241" s="127"/>
      <c r="V241" s="127"/>
      <c r="W241" s="209"/>
      <c r="X241" s="209"/>
      <c r="Y241" s="209"/>
      <c r="Z241" s="209"/>
      <c r="AA241" s="127"/>
      <c r="AB241" s="127"/>
      <c r="AC241" s="127"/>
      <c r="AD241" s="127"/>
      <c r="AE241" s="127"/>
      <c r="AF241" s="127"/>
      <c r="AG241" s="127"/>
      <c r="AH241" s="127"/>
      <c r="AI241" s="127"/>
      <c r="AJ241" s="127"/>
      <c r="AK241" s="127"/>
      <c r="AL241" s="127"/>
      <c r="AM241" s="127"/>
      <c r="AN241" s="127"/>
      <c r="AO241" s="127"/>
    </row>
    <row r="242" spans="2:41" ht="13" x14ac:dyDescent="0.3">
      <c r="B242" s="534"/>
      <c r="C242" s="114"/>
      <c r="D242" s="114">
        <v>1</v>
      </c>
      <c r="E242" s="181">
        <v>40770</v>
      </c>
      <c r="F242" s="114">
        <v>4</v>
      </c>
      <c r="G242" s="203">
        <f t="shared" si="41"/>
        <v>900</v>
      </c>
      <c r="H242" s="114">
        <v>22</v>
      </c>
      <c r="I242" s="203">
        <f t="shared" si="43"/>
        <v>0</v>
      </c>
      <c r="J242" s="332">
        <v>0.05</v>
      </c>
      <c r="K242" s="127"/>
      <c r="L242" s="204">
        <f t="shared" si="44"/>
        <v>44000</v>
      </c>
      <c r="M242" s="204">
        <f t="shared" si="45"/>
        <v>18000</v>
      </c>
      <c r="N242" s="206">
        <f t="shared" si="42"/>
        <v>5</v>
      </c>
      <c r="O242" s="127"/>
      <c r="P242" s="127"/>
      <c r="Q242" s="127"/>
      <c r="R242" s="127"/>
      <c r="S242" s="127"/>
      <c r="T242" s="127"/>
      <c r="U242" s="127"/>
      <c r="V242" s="127"/>
      <c r="W242" s="209"/>
      <c r="X242" s="209"/>
      <c r="Y242" s="209"/>
      <c r="Z242" s="209"/>
      <c r="AA242" s="127"/>
      <c r="AB242" s="127"/>
      <c r="AC242" s="127"/>
      <c r="AD242" s="127"/>
      <c r="AE242" s="127"/>
      <c r="AF242" s="127"/>
      <c r="AG242" s="127"/>
      <c r="AH242" s="127"/>
      <c r="AI242" s="127"/>
      <c r="AJ242" s="127"/>
      <c r="AK242" s="127"/>
      <c r="AL242" s="127"/>
      <c r="AM242" s="127"/>
      <c r="AN242" s="127"/>
      <c r="AO242" s="127"/>
    </row>
    <row r="243" spans="2:41" ht="13" x14ac:dyDescent="0.3">
      <c r="B243" s="534"/>
      <c r="C243" s="114"/>
      <c r="D243" s="114"/>
      <c r="E243" s="181">
        <v>40787</v>
      </c>
      <c r="F243" s="114">
        <v>3.5</v>
      </c>
      <c r="G243" s="203">
        <f t="shared" si="41"/>
        <v>787.5</v>
      </c>
      <c r="H243" s="114">
        <v>19</v>
      </c>
      <c r="I243" s="203">
        <f t="shared" si="43"/>
        <v>-400</v>
      </c>
      <c r="J243" s="332">
        <v>0.02</v>
      </c>
      <c r="K243" s="127"/>
      <c r="L243" s="204">
        <f t="shared" si="44"/>
        <v>38000</v>
      </c>
      <c r="M243" s="204">
        <f t="shared" si="45"/>
        <v>15750</v>
      </c>
      <c r="N243" s="206">
        <f t="shared" si="42"/>
        <v>2</v>
      </c>
      <c r="O243" s="127"/>
      <c r="P243" s="127"/>
      <c r="Q243" s="127"/>
      <c r="R243" s="127"/>
      <c r="S243" s="127"/>
      <c r="T243" s="127"/>
      <c r="U243" s="127"/>
      <c r="V243" s="127"/>
      <c r="W243" s="209"/>
      <c r="X243" s="209"/>
      <c r="Y243" s="209"/>
      <c r="Z243" s="209"/>
      <c r="AA243" s="127"/>
      <c r="AB243" s="127"/>
      <c r="AC243" s="127"/>
      <c r="AD243" s="127"/>
      <c r="AE243" s="127"/>
      <c r="AF243" s="127"/>
      <c r="AG243" s="127"/>
      <c r="AH243" s="127"/>
      <c r="AI243" s="127"/>
      <c r="AJ243" s="127"/>
      <c r="AK243" s="127"/>
      <c r="AL243" s="127"/>
      <c r="AM243" s="127"/>
      <c r="AN243" s="127"/>
      <c r="AO243" s="127"/>
    </row>
    <row r="244" spans="2:41" ht="13" x14ac:dyDescent="0.3">
      <c r="B244" s="534"/>
      <c r="C244" s="114"/>
      <c r="D244" s="114"/>
      <c r="E244" s="181">
        <v>40801</v>
      </c>
      <c r="F244" s="114">
        <v>4</v>
      </c>
      <c r="G244" s="203">
        <f t="shared" si="41"/>
        <v>900</v>
      </c>
      <c r="H244" s="114">
        <v>16</v>
      </c>
      <c r="I244" s="203">
        <f t="shared" si="43"/>
        <v>-400</v>
      </c>
      <c r="J244" s="332">
        <v>0.02</v>
      </c>
      <c r="K244" s="127"/>
      <c r="L244" s="204">
        <f t="shared" si="44"/>
        <v>32000</v>
      </c>
      <c r="M244" s="204">
        <f t="shared" si="45"/>
        <v>18000</v>
      </c>
      <c r="N244" s="206">
        <f t="shared" si="42"/>
        <v>2</v>
      </c>
      <c r="O244" s="127"/>
      <c r="P244" s="127"/>
      <c r="Q244" s="127"/>
      <c r="R244" s="127"/>
      <c r="S244" s="127"/>
      <c r="T244" s="127"/>
      <c r="U244" s="127"/>
      <c r="V244" s="127"/>
      <c r="W244" s="209"/>
      <c r="X244" s="209"/>
      <c r="Y244" s="209"/>
      <c r="Z244" s="209"/>
      <c r="AA244" s="127"/>
      <c r="AB244" s="127"/>
      <c r="AC244" s="127"/>
      <c r="AD244" s="127"/>
      <c r="AE244" s="127"/>
      <c r="AF244" s="127"/>
      <c r="AG244" s="127"/>
      <c r="AH244" s="127"/>
      <c r="AI244" s="127"/>
      <c r="AJ244" s="127"/>
      <c r="AK244" s="127"/>
      <c r="AL244" s="127"/>
      <c r="AM244" s="127"/>
      <c r="AN244" s="127"/>
      <c r="AO244" s="127"/>
    </row>
    <row r="245" spans="2:41" ht="13" x14ac:dyDescent="0.3">
      <c r="B245" s="534"/>
      <c r="C245" s="114">
        <v>1</v>
      </c>
      <c r="D245" s="114"/>
      <c r="E245" s="181">
        <v>40817</v>
      </c>
      <c r="F245" s="114">
        <v>2</v>
      </c>
      <c r="G245" s="203">
        <f t="shared" si="41"/>
        <v>450</v>
      </c>
      <c r="H245" s="114">
        <v>15</v>
      </c>
      <c r="I245" s="203">
        <f t="shared" si="43"/>
        <v>-133.33333333333334</v>
      </c>
      <c r="J245" s="332">
        <v>0</v>
      </c>
      <c r="K245" s="127"/>
      <c r="L245" s="204">
        <f t="shared" si="44"/>
        <v>30000</v>
      </c>
      <c r="M245" s="204">
        <f t="shared" si="45"/>
        <v>9000</v>
      </c>
      <c r="N245" s="206">
        <f t="shared" si="42"/>
        <v>0</v>
      </c>
      <c r="O245" s="127"/>
      <c r="P245" s="127"/>
      <c r="Q245" s="127"/>
      <c r="R245" s="127"/>
      <c r="S245" s="127"/>
      <c r="T245" s="127"/>
      <c r="U245" s="127"/>
      <c r="V245" s="127"/>
      <c r="W245" s="209"/>
      <c r="X245" s="209"/>
      <c r="Y245" s="209"/>
      <c r="Z245" s="209"/>
      <c r="AA245" s="127"/>
      <c r="AB245" s="127"/>
      <c r="AC245" s="127"/>
      <c r="AD245" s="127"/>
      <c r="AE245" s="127"/>
      <c r="AF245" s="127"/>
      <c r="AG245" s="127"/>
      <c r="AH245" s="127"/>
      <c r="AI245" s="127"/>
      <c r="AJ245" s="127"/>
      <c r="AK245" s="127"/>
      <c r="AL245" s="127"/>
      <c r="AM245" s="127"/>
      <c r="AN245" s="127"/>
      <c r="AO245" s="127"/>
    </row>
    <row r="246" spans="2:41" ht="13" x14ac:dyDescent="0.3">
      <c r="B246" s="534"/>
      <c r="C246" s="114">
        <v>1</v>
      </c>
      <c r="D246" s="114"/>
      <c r="E246" s="181">
        <v>40831</v>
      </c>
      <c r="F246" s="114">
        <v>0.5</v>
      </c>
      <c r="G246" s="203">
        <f t="shared" si="41"/>
        <v>112.5</v>
      </c>
      <c r="H246" s="114">
        <v>12</v>
      </c>
      <c r="I246" s="203">
        <f t="shared" si="43"/>
        <v>-400</v>
      </c>
      <c r="J246" s="332">
        <v>0</v>
      </c>
      <c r="K246" s="127"/>
      <c r="L246" s="204">
        <f t="shared" si="44"/>
        <v>24000</v>
      </c>
      <c r="M246" s="204">
        <f t="shared" si="45"/>
        <v>2250</v>
      </c>
      <c r="N246" s="206">
        <f t="shared" si="42"/>
        <v>0</v>
      </c>
      <c r="O246" s="127"/>
      <c r="P246" s="127"/>
      <c r="Q246" s="127"/>
      <c r="R246" s="127"/>
      <c r="S246" s="127"/>
      <c r="T246" s="127"/>
      <c r="U246" s="127"/>
      <c r="V246" s="127"/>
      <c r="W246" s="209"/>
      <c r="X246" s="209"/>
      <c r="Y246" s="209"/>
      <c r="Z246" s="209"/>
      <c r="AA246" s="127"/>
      <c r="AB246" s="127"/>
      <c r="AC246" s="127"/>
      <c r="AD246" s="127"/>
      <c r="AE246" s="127"/>
      <c r="AF246" s="127"/>
      <c r="AG246" s="127"/>
      <c r="AH246" s="127"/>
      <c r="AI246" s="127"/>
      <c r="AJ246" s="127"/>
      <c r="AK246" s="127"/>
      <c r="AL246" s="127"/>
      <c r="AM246" s="127"/>
      <c r="AN246" s="127"/>
      <c r="AO246" s="127"/>
    </row>
    <row r="247" spans="2:41" ht="13" x14ac:dyDescent="0.3">
      <c r="B247" s="534"/>
      <c r="C247" s="114">
        <v>1</v>
      </c>
      <c r="D247" s="114"/>
      <c r="E247" s="181">
        <v>40848</v>
      </c>
      <c r="F247" s="114">
        <v>0</v>
      </c>
      <c r="G247" s="203">
        <f t="shared" si="41"/>
        <v>0</v>
      </c>
      <c r="H247" s="114">
        <v>8</v>
      </c>
      <c r="I247" s="203">
        <f t="shared" si="43"/>
        <v>-533.33333333333337</v>
      </c>
      <c r="J247" s="332">
        <v>0</v>
      </c>
      <c r="K247" s="127"/>
      <c r="L247" s="204">
        <f t="shared" si="44"/>
        <v>16000</v>
      </c>
      <c r="M247" s="204">
        <f t="shared" si="45"/>
        <v>0</v>
      </c>
      <c r="N247" s="206">
        <f t="shared" si="42"/>
        <v>0</v>
      </c>
      <c r="O247" s="127"/>
      <c r="P247" s="127"/>
      <c r="Q247" s="127"/>
      <c r="R247" s="127"/>
      <c r="S247" s="127"/>
      <c r="T247" s="127"/>
      <c r="U247" s="127"/>
      <c r="V247" s="127"/>
      <c r="W247" s="209"/>
      <c r="X247" s="209"/>
      <c r="Y247" s="209"/>
      <c r="Z247" s="209"/>
      <c r="AA247" s="127"/>
      <c r="AB247" s="127"/>
      <c r="AC247" s="127"/>
      <c r="AD247" s="127"/>
      <c r="AE247" s="127"/>
      <c r="AF247" s="127"/>
      <c r="AG247" s="127"/>
      <c r="AH247" s="127"/>
      <c r="AI247" s="127"/>
      <c r="AJ247" s="127"/>
      <c r="AK247" s="127"/>
      <c r="AL247" s="127"/>
      <c r="AM247" s="127"/>
      <c r="AN247" s="127"/>
      <c r="AO247" s="127"/>
    </row>
    <row r="248" spans="2:41" ht="13" x14ac:dyDescent="0.3">
      <c r="B248" s="534"/>
      <c r="C248" s="114">
        <v>1</v>
      </c>
      <c r="D248" s="114"/>
      <c r="E248" s="181">
        <v>40862</v>
      </c>
      <c r="F248" s="114">
        <v>0</v>
      </c>
      <c r="G248" s="203">
        <f t="shared" si="41"/>
        <v>0</v>
      </c>
      <c r="H248" s="114">
        <v>7</v>
      </c>
      <c r="I248" s="203">
        <f t="shared" si="43"/>
        <v>-133.33333333333334</v>
      </c>
      <c r="J248" s="332">
        <v>0</v>
      </c>
      <c r="K248" s="127"/>
      <c r="L248" s="204">
        <f t="shared" si="44"/>
        <v>14000</v>
      </c>
      <c r="M248" s="204">
        <f t="shared" si="45"/>
        <v>0</v>
      </c>
      <c r="N248" s="206">
        <f t="shared" si="42"/>
        <v>0</v>
      </c>
      <c r="O248" s="127"/>
      <c r="P248" s="127"/>
      <c r="Q248" s="127"/>
      <c r="R248" s="127"/>
      <c r="S248" s="127"/>
      <c r="T248" s="127"/>
      <c r="U248" s="127"/>
      <c r="V248" s="127"/>
      <c r="W248" s="209"/>
      <c r="X248" s="209"/>
      <c r="Y248" s="209"/>
      <c r="Z248" s="209"/>
      <c r="AA248" s="127"/>
      <c r="AB248" s="127"/>
      <c r="AC248" s="127"/>
      <c r="AD248" s="127"/>
      <c r="AE248" s="127"/>
      <c r="AF248" s="127"/>
      <c r="AG248" s="127"/>
      <c r="AH248" s="127"/>
      <c r="AI248" s="127"/>
      <c r="AJ248" s="127"/>
      <c r="AK248" s="127"/>
      <c r="AL248" s="127"/>
      <c r="AM248" s="127"/>
      <c r="AN248" s="127"/>
      <c r="AO248" s="127"/>
    </row>
    <row r="249" spans="2:41" ht="13" x14ac:dyDescent="0.3">
      <c r="B249" s="534"/>
      <c r="C249" s="114">
        <v>1</v>
      </c>
      <c r="D249" s="114"/>
      <c r="E249" s="181">
        <v>40878</v>
      </c>
      <c r="F249" s="114">
        <v>0</v>
      </c>
      <c r="G249" s="203">
        <f t="shared" si="41"/>
        <v>0</v>
      </c>
      <c r="H249" s="114">
        <v>7</v>
      </c>
      <c r="I249" s="203">
        <f t="shared" si="43"/>
        <v>0</v>
      </c>
      <c r="J249" s="332">
        <v>0</v>
      </c>
      <c r="K249" s="127"/>
      <c r="L249" s="204">
        <f t="shared" si="44"/>
        <v>14000</v>
      </c>
      <c r="M249" s="204">
        <f t="shared" si="45"/>
        <v>0</v>
      </c>
      <c r="N249" s="206">
        <f t="shared" si="42"/>
        <v>0</v>
      </c>
      <c r="O249" s="127"/>
      <c r="P249" s="127"/>
      <c r="Q249" s="127"/>
      <c r="R249" s="127"/>
      <c r="S249" s="127"/>
      <c r="T249" s="127"/>
      <c r="U249" s="127"/>
      <c r="V249" s="127"/>
      <c r="W249" s="209"/>
      <c r="X249" s="209"/>
      <c r="Y249" s="209"/>
      <c r="Z249" s="209"/>
      <c r="AA249" s="127"/>
      <c r="AB249" s="127"/>
      <c r="AC249" s="127"/>
      <c r="AD249" s="127"/>
      <c r="AE249" s="127"/>
      <c r="AF249" s="127"/>
      <c r="AG249" s="127"/>
      <c r="AH249" s="127"/>
      <c r="AI249" s="127"/>
      <c r="AJ249" s="127"/>
      <c r="AK249" s="127"/>
      <c r="AL249" s="127"/>
      <c r="AM249" s="127"/>
      <c r="AN249" s="127"/>
      <c r="AO249" s="127"/>
    </row>
    <row r="250" spans="2:41" ht="13" x14ac:dyDescent="0.3">
      <c r="B250" s="535"/>
      <c r="C250" s="114">
        <v>1</v>
      </c>
      <c r="D250" s="114"/>
      <c r="E250" s="181">
        <v>40892</v>
      </c>
      <c r="F250" s="114">
        <v>0</v>
      </c>
      <c r="G250" s="208">
        <f t="shared" si="41"/>
        <v>0</v>
      </c>
      <c r="H250" s="114">
        <v>7</v>
      </c>
      <c r="I250" s="203">
        <f t="shared" si="43"/>
        <v>0</v>
      </c>
      <c r="J250" s="332">
        <v>0</v>
      </c>
      <c r="K250" s="127"/>
      <c r="L250" s="204">
        <f t="shared" si="44"/>
        <v>14000</v>
      </c>
      <c r="M250" s="204">
        <f t="shared" si="45"/>
        <v>0</v>
      </c>
      <c r="N250" s="206">
        <f t="shared" si="42"/>
        <v>0</v>
      </c>
      <c r="O250" s="127"/>
      <c r="P250" s="127"/>
      <c r="Q250" s="127"/>
      <c r="R250" s="127"/>
      <c r="S250" s="127"/>
      <c r="T250" s="127"/>
      <c r="U250" s="127"/>
      <c r="V250" s="127"/>
      <c r="W250" s="209"/>
      <c r="X250" s="209"/>
      <c r="Y250" s="209"/>
      <c r="Z250" s="209"/>
      <c r="AA250" s="127"/>
      <c r="AB250" s="127"/>
      <c r="AC250" s="127"/>
      <c r="AD250" s="127"/>
      <c r="AE250" s="127"/>
      <c r="AF250" s="127"/>
      <c r="AG250" s="127"/>
      <c r="AH250" s="127"/>
      <c r="AI250" s="127"/>
      <c r="AJ250" s="127"/>
      <c r="AK250" s="127"/>
      <c r="AL250" s="127"/>
      <c r="AM250" s="127"/>
      <c r="AN250" s="127"/>
      <c r="AO250" s="127"/>
    </row>
    <row r="251" spans="2:41" x14ac:dyDescent="0.25">
      <c r="B251" s="127"/>
      <c r="C251" s="127"/>
      <c r="D251" s="175"/>
      <c r="E251" s="314">
        <v>43100</v>
      </c>
      <c r="F251" s="300">
        <f>G227</f>
        <v>0</v>
      </c>
      <c r="G251" s="300">
        <f>H227</f>
        <v>8</v>
      </c>
      <c r="H251" s="300">
        <f>I227</f>
        <v>0</v>
      </c>
      <c r="I251" s="300">
        <f>J227</f>
        <v>0</v>
      </c>
      <c r="J251" s="334">
        <f>K227</f>
        <v>0</v>
      </c>
      <c r="K251" s="300"/>
      <c r="L251" s="300">
        <f>M227</f>
        <v>0</v>
      </c>
      <c r="M251" s="300">
        <f>N227</f>
        <v>0</v>
      </c>
      <c r="N251" s="315">
        <f>O227</f>
        <v>0</v>
      </c>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row>
    <row r="252" spans="2:41" x14ac:dyDescent="0.25">
      <c r="B252" s="127"/>
      <c r="C252" s="127"/>
      <c r="D252" s="175"/>
      <c r="E252" s="127"/>
      <c r="F252" s="127"/>
      <c r="G252" s="127"/>
      <c r="H252" s="127"/>
      <c r="I252" s="127"/>
      <c r="J252" s="328"/>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row>
    <row r="253" spans="2:41" x14ac:dyDescent="0.25">
      <c r="B253" s="127"/>
      <c r="C253" s="127"/>
      <c r="D253" s="175"/>
      <c r="E253" s="127"/>
      <c r="F253" s="127"/>
      <c r="G253" s="127"/>
      <c r="H253" s="127"/>
      <c r="I253" s="127"/>
      <c r="J253" s="328"/>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row>
    <row r="254" spans="2:41" ht="187.5" x14ac:dyDescent="0.25">
      <c r="B254" s="194" t="s">
        <v>162</v>
      </c>
      <c r="C254" s="195" t="s">
        <v>45</v>
      </c>
      <c r="D254" s="195" t="s">
        <v>46</v>
      </c>
      <c r="E254" s="196" t="s">
        <v>38</v>
      </c>
      <c r="F254" s="197" t="s">
        <v>39</v>
      </c>
      <c r="G254" s="198" t="s">
        <v>84</v>
      </c>
      <c r="H254" s="199" t="s">
        <v>86</v>
      </c>
      <c r="I254" s="200" t="s">
        <v>85</v>
      </c>
      <c r="J254" s="331" t="s">
        <v>40</v>
      </c>
      <c r="K254" s="127"/>
      <c r="L254" s="199" t="s">
        <v>42</v>
      </c>
      <c r="M254" s="197" t="s">
        <v>43</v>
      </c>
      <c r="N254" s="201" t="s">
        <v>87</v>
      </c>
      <c r="O254" s="127"/>
      <c r="P254" s="175"/>
      <c r="Q254" s="127"/>
      <c r="R254" s="127"/>
      <c r="S254" s="127"/>
      <c r="T254" s="127"/>
      <c r="U254" s="127"/>
      <c r="V254" s="127"/>
      <c r="W254" s="212"/>
      <c r="X254" s="212"/>
      <c r="Y254" s="212"/>
      <c r="Z254" s="212"/>
      <c r="AA254" s="127"/>
      <c r="AB254" s="127"/>
      <c r="AC254" s="127"/>
      <c r="AD254" s="127"/>
      <c r="AE254" s="127"/>
      <c r="AF254" s="127"/>
      <c r="AG254" s="127"/>
      <c r="AH254" s="127"/>
      <c r="AI254" s="127"/>
      <c r="AJ254" s="127"/>
      <c r="AK254" s="127"/>
      <c r="AL254" s="127"/>
      <c r="AM254" s="127"/>
      <c r="AN254" s="127"/>
      <c r="AO254" s="127"/>
    </row>
    <row r="255" spans="2:41" ht="14.5" x14ac:dyDescent="0.35">
      <c r="B255" s="534"/>
      <c r="C255" s="183">
        <v>1</v>
      </c>
      <c r="D255" s="183"/>
      <c r="E255" s="181">
        <v>40544</v>
      </c>
      <c r="F255" s="183">
        <v>0</v>
      </c>
      <c r="G255" s="203">
        <f t="shared" ref="G255:G278" si="46">M255/20</f>
        <v>0</v>
      </c>
      <c r="H255" s="183">
        <v>5</v>
      </c>
      <c r="I255" s="204"/>
      <c r="J255" s="337">
        <v>0</v>
      </c>
      <c r="K255" s="127"/>
      <c r="L255" s="204">
        <f>H255*$M$2</f>
        <v>10000</v>
      </c>
      <c r="M255" s="204">
        <f>F255*$M$3</f>
        <v>0</v>
      </c>
      <c r="N255" s="206">
        <f t="shared" ref="N255:N278" si="47">J255*100</f>
        <v>0</v>
      </c>
      <c r="O255" s="127"/>
      <c r="P255" s="127"/>
      <c r="Q255" s="536"/>
      <c r="R255" s="536"/>
      <c r="S255" s="536"/>
      <c r="T255" s="536"/>
      <c r="U255" s="536"/>
      <c r="V255" s="127"/>
      <c r="W255" s="209"/>
      <c r="X255" s="209"/>
      <c r="Y255" s="209"/>
      <c r="Z255" s="209"/>
      <c r="AA255" s="127"/>
      <c r="AB255" s="127"/>
      <c r="AC255" s="127"/>
      <c r="AD255" s="127"/>
      <c r="AE255" s="127"/>
      <c r="AF255" s="127"/>
      <c r="AG255" s="127"/>
      <c r="AH255" s="127"/>
      <c r="AI255" s="127"/>
      <c r="AJ255" s="127"/>
      <c r="AK255" s="127"/>
      <c r="AL255" s="127"/>
      <c r="AM255" s="127"/>
      <c r="AN255" s="127"/>
      <c r="AO255" s="127"/>
    </row>
    <row r="256" spans="2:41" ht="13" x14ac:dyDescent="0.3">
      <c r="B256" s="534"/>
      <c r="C256" s="183">
        <v>1</v>
      </c>
      <c r="D256" s="183"/>
      <c r="E256" s="181">
        <v>40558</v>
      </c>
      <c r="F256" s="183">
        <v>0</v>
      </c>
      <c r="G256" s="203">
        <f t="shared" si="46"/>
        <v>0</v>
      </c>
      <c r="H256" s="183">
        <v>5</v>
      </c>
      <c r="I256" s="203">
        <f t="shared" ref="I256:I278" si="48">(L256-L255)/15</f>
        <v>0</v>
      </c>
      <c r="J256" s="337">
        <v>0</v>
      </c>
      <c r="K256" s="127"/>
      <c r="L256" s="204">
        <f t="shared" ref="L256:L278" si="49">H256*$M$2</f>
        <v>10000</v>
      </c>
      <c r="M256" s="204">
        <f t="shared" ref="M256:M278" si="50">F256*$M$3</f>
        <v>0</v>
      </c>
      <c r="N256" s="206">
        <f t="shared" si="47"/>
        <v>0</v>
      </c>
      <c r="O256" s="127"/>
      <c r="P256" s="127"/>
      <c r="Q256" s="127"/>
      <c r="R256" s="127"/>
      <c r="S256" s="127"/>
      <c r="T256" s="127"/>
      <c r="U256" s="127"/>
      <c r="V256" s="127"/>
      <c r="W256" s="209"/>
      <c r="X256" s="209"/>
      <c r="Y256" s="209"/>
      <c r="Z256" s="209"/>
      <c r="AA256" s="127"/>
      <c r="AB256" s="127"/>
      <c r="AC256" s="127"/>
      <c r="AD256" s="127"/>
      <c r="AE256" s="127"/>
      <c r="AF256" s="127"/>
      <c r="AG256" s="127"/>
      <c r="AH256" s="127"/>
      <c r="AI256" s="127"/>
      <c r="AJ256" s="127"/>
      <c r="AK256" s="127"/>
      <c r="AL256" s="127"/>
      <c r="AM256" s="127"/>
      <c r="AN256" s="127"/>
      <c r="AO256" s="127"/>
    </row>
    <row r="257" spans="2:41" ht="14.5" x14ac:dyDescent="0.35">
      <c r="B257" s="534"/>
      <c r="C257" s="183">
        <v>1</v>
      </c>
      <c r="D257" s="183"/>
      <c r="E257" s="181">
        <v>40575</v>
      </c>
      <c r="F257" s="183">
        <v>0</v>
      </c>
      <c r="G257" s="203">
        <f t="shared" si="46"/>
        <v>0</v>
      </c>
      <c r="H257" s="183">
        <v>4.5</v>
      </c>
      <c r="I257" s="203">
        <f t="shared" si="48"/>
        <v>-66.666666666666671</v>
      </c>
      <c r="J257" s="337">
        <v>0</v>
      </c>
      <c r="K257" s="127"/>
      <c r="L257" s="204">
        <f t="shared" si="49"/>
        <v>9000</v>
      </c>
      <c r="M257" s="204">
        <f t="shared" si="50"/>
        <v>0</v>
      </c>
      <c r="N257" s="206">
        <f t="shared" si="47"/>
        <v>0</v>
      </c>
      <c r="O257" s="127"/>
      <c r="P257" s="213"/>
      <c r="Q257" s="214"/>
      <c r="R257" s="207"/>
      <c r="S257" s="215"/>
      <c r="T257" s="216"/>
      <c r="U257" s="216"/>
      <c r="V257" s="127"/>
      <c r="W257" s="209"/>
      <c r="X257" s="209"/>
      <c r="Y257" s="209"/>
      <c r="Z257" s="209"/>
      <c r="AA257" s="127"/>
      <c r="AB257" s="127"/>
      <c r="AC257" s="127"/>
      <c r="AD257" s="127"/>
      <c r="AE257" s="127"/>
      <c r="AF257" s="127"/>
      <c r="AG257" s="127"/>
      <c r="AH257" s="127"/>
      <c r="AI257" s="127"/>
      <c r="AJ257" s="127"/>
      <c r="AK257" s="127"/>
      <c r="AL257" s="127"/>
      <c r="AM257" s="127"/>
      <c r="AN257" s="127"/>
      <c r="AO257" s="127"/>
    </row>
    <row r="258" spans="2:41" ht="14.5" x14ac:dyDescent="0.35">
      <c r="B258" s="534"/>
      <c r="C258" s="183">
        <v>1</v>
      </c>
      <c r="D258" s="183"/>
      <c r="E258" s="181">
        <v>40589</v>
      </c>
      <c r="F258" s="183">
        <v>0.5</v>
      </c>
      <c r="G258" s="203">
        <f t="shared" si="46"/>
        <v>112.5</v>
      </c>
      <c r="H258" s="183">
        <v>4.5</v>
      </c>
      <c r="I258" s="203">
        <f t="shared" si="48"/>
        <v>0</v>
      </c>
      <c r="J258" s="337">
        <v>0</v>
      </c>
      <c r="K258" s="127"/>
      <c r="L258" s="204">
        <f t="shared" si="49"/>
        <v>9000</v>
      </c>
      <c r="M258" s="204">
        <f t="shared" si="50"/>
        <v>2250</v>
      </c>
      <c r="N258" s="206">
        <f t="shared" si="47"/>
        <v>0</v>
      </c>
      <c r="O258" s="127"/>
      <c r="P258" s="213"/>
      <c r="Q258" s="214"/>
      <c r="R258" s="207"/>
      <c r="S258" s="127"/>
      <c r="T258" s="216"/>
      <c r="U258" s="216"/>
      <c r="V258" s="127"/>
      <c r="W258" s="209"/>
      <c r="X258" s="209"/>
      <c r="Y258" s="209"/>
      <c r="Z258" s="209"/>
      <c r="AA258" s="127"/>
      <c r="AB258" s="127"/>
      <c r="AC258" s="127"/>
      <c r="AD258" s="127"/>
      <c r="AE258" s="127"/>
      <c r="AF258" s="127"/>
      <c r="AG258" s="127"/>
      <c r="AH258" s="127"/>
      <c r="AI258" s="127"/>
      <c r="AJ258" s="127"/>
      <c r="AK258" s="127"/>
      <c r="AL258" s="127"/>
      <c r="AM258" s="127"/>
      <c r="AN258" s="127"/>
      <c r="AO258" s="127"/>
    </row>
    <row r="259" spans="2:41" ht="14.5" x14ac:dyDescent="0.35">
      <c r="B259" s="534"/>
      <c r="C259" s="183">
        <v>1</v>
      </c>
      <c r="D259" s="183"/>
      <c r="E259" s="181">
        <v>40603</v>
      </c>
      <c r="F259" s="183">
        <v>0.5</v>
      </c>
      <c r="G259" s="203">
        <f t="shared" si="46"/>
        <v>112.5</v>
      </c>
      <c r="H259" s="183">
        <v>4</v>
      </c>
      <c r="I259" s="203">
        <f t="shared" si="48"/>
        <v>-66.666666666666671</v>
      </c>
      <c r="J259" s="337">
        <v>0</v>
      </c>
      <c r="K259" s="127"/>
      <c r="L259" s="204">
        <f t="shared" si="49"/>
        <v>8000</v>
      </c>
      <c r="M259" s="204">
        <f t="shared" si="50"/>
        <v>2250</v>
      </c>
      <c r="N259" s="206">
        <f t="shared" si="47"/>
        <v>0</v>
      </c>
      <c r="O259" s="127"/>
      <c r="P259" s="213"/>
      <c r="Q259" s="207"/>
      <c r="R259" s="207"/>
      <c r="S259" s="127"/>
      <c r="T259" s="216"/>
      <c r="U259" s="216"/>
      <c r="V259" s="127"/>
      <c r="W259" s="209"/>
      <c r="X259" s="209"/>
      <c r="Y259" s="209"/>
      <c r="Z259" s="209"/>
      <c r="AA259" s="127"/>
      <c r="AB259" s="127"/>
      <c r="AC259" s="127"/>
      <c r="AD259" s="127"/>
      <c r="AE259" s="127"/>
      <c r="AF259" s="127"/>
      <c r="AG259" s="127"/>
      <c r="AH259" s="127"/>
      <c r="AI259" s="127"/>
      <c r="AJ259" s="127"/>
      <c r="AK259" s="127"/>
      <c r="AL259" s="127"/>
      <c r="AM259" s="127"/>
      <c r="AN259" s="127"/>
      <c r="AO259" s="127"/>
    </row>
    <row r="260" spans="2:41" ht="14.5" x14ac:dyDescent="0.35">
      <c r="B260" s="534"/>
      <c r="C260" s="183">
        <v>1</v>
      </c>
      <c r="D260" s="183"/>
      <c r="E260" s="181">
        <v>40617</v>
      </c>
      <c r="F260" s="183">
        <v>0.75</v>
      </c>
      <c r="G260" s="203">
        <f t="shared" si="46"/>
        <v>168.75</v>
      </c>
      <c r="H260" s="183">
        <v>4</v>
      </c>
      <c r="I260" s="203">
        <f t="shared" si="48"/>
        <v>0</v>
      </c>
      <c r="J260" s="337">
        <v>0</v>
      </c>
      <c r="K260" s="127"/>
      <c r="L260" s="204">
        <f t="shared" si="49"/>
        <v>8000</v>
      </c>
      <c r="M260" s="204">
        <f t="shared" si="50"/>
        <v>3375</v>
      </c>
      <c r="N260" s="206">
        <f t="shared" si="47"/>
        <v>0</v>
      </c>
      <c r="O260" s="127"/>
      <c r="P260" s="213"/>
      <c r="Q260" s="207"/>
      <c r="R260" s="207"/>
      <c r="S260" s="127"/>
      <c r="T260" s="216"/>
      <c r="U260" s="216"/>
      <c r="V260" s="127"/>
      <c r="W260" s="209"/>
      <c r="X260" s="209"/>
      <c r="Y260" s="209"/>
      <c r="Z260" s="209"/>
      <c r="AA260" s="127"/>
      <c r="AB260" s="127"/>
      <c r="AC260" s="127"/>
      <c r="AD260" s="127"/>
      <c r="AE260" s="127"/>
      <c r="AF260" s="127"/>
      <c r="AG260" s="127"/>
      <c r="AH260" s="127"/>
      <c r="AI260" s="127"/>
      <c r="AJ260" s="127"/>
      <c r="AK260" s="127"/>
      <c r="AL260" s="127"/>
      <c r="AM260" s="127"/>
      <c r="AN260" s="127"/>
      <c r="AO260" s="127"/>
    </row>
    <row r="261" spans="2:41" ht="14.5" x14ac:dyDescent="0.35">
      <c r="B261" s="534"/>
      <c r="C261" s="183"/>
      <c r="D261" s="183">
        <v>1</v>
      </c>
      <c r="E261" s="181">
        <v>40634</v>
      </c>
      <c r="F261" s="183">
        <v>0.75</v>
      </c>
      <c r="G261" s="203">
        <f t="shared" si="46"/>
        <v>168.75</v>
      </c>
      <c r="H261" s="183">
        <v>4</v>
      </c>
      <c r="I261" s="203">
        <f t="shared" si="48"/>
        <v>0</v>
      </c>
      <c r="J261" s="337">
        <v>0</v>
      </c>
      <c r="K261" s="127"/>
      <c r="L261" s="204">
        <f t="shared" si="49"/>
        <v>8000</v>
      </c>
      <c r="M261" s="204">
        <f t="shared" si="50"/>
        <v>3375</v>
      </c>
      <c r="N261" s="206">
        <f t="shared" si="47"/>
        <v>0</v>
      </c>
      <c r="O261" s="127"/>
      <c r="P261" s="213"/>
      <c r="Q261" s="207"/>
      <c r="R261" s="207"/>
      <c r="S261" s="127"/>
      <c r="T261" s="216"/>
      <c r="U261" s="216"/>
      <c r="V261" s="127"/>
      <c r="W261" s="209"/>
      <c r="X261" s="209"/>
      <c r="Y261" s="209"/>
      <c r="Z261" s="209"/>
      <c r="AA261" s="127"/>
      <c r="AB261" s="127"/>
      <c r="AC261" s="127"/>
      <c r="AD261" s="127"/>
      <c r="AE261" s="127"/>
      <c r="AF261" s="127"/>
      <c r="AG261" s="127"/>
      <c r="AH261" s="127"/>
      <c r="AI261" s="127"/>
      <c r="AJ261" s="127"/>
      <c r="AK261" s="127"/>
      <c r="AL261" s="127"/>
      <c r="AM261" s="127"/>
      <c r="AN261" s="127"/>
      <c r="AO261" s="127"/>
    </row>
    <row r="262" spans="2:41" ht="13" x14ac:dyDescent="0.3">
      <c r="B262" s="534"/>
      <c r="C262" s="183"/>
      <c r="D262" s="183">
        <v>1</v>
      </c>
      <c r="E262" s="181">
        <v>40648</v>
      </c>
      <c r="F262" s="183">
        <v>1</v>
      </c>
      <c r="G262" s="203">
        <f t="shared" si="46"/>
        <v>225</v>
      </c>
      <c r="H262" s="183">
        <v>4</v>
      </c>
      <c r="I262" s="203">
        <f t="shared" si="48"/>
        <v>0</v>
      </c>
      <c r="J262" s="337">
        <v>0</v>
      </c>
      <c r="K262" s="127"/>
      <c r="L262" s="204">
        <f t="shared" si="49"/>
        <v>8000</v>
      </c>
      <c r="M262" s="204">
        <f t="shared" si="50"/>
        <v>4500</v>
      </c>
      <c r="N262" s="206">
        <f t="shared" si="47"/>
        <v>0</v>
      </c>
      <c r="O262" s="127"/>
      <c r="P262" s="188"/>
      <c r="Q262" s="127"/>
      <c r="R262" s="127"/>
      <c r="S262" s="127"/>
      <c r="T262" s="127"/>
      <c r="U262" s="127"/>
      <c r="V262" s="127"/>
      <c r="W262" s="209"/>
      <c r="X262" s="209"/>
      <c r="Y262" s="209"/>
      <c r="Z262" s="209"/>
      <c r="AA262" s="127"/>
      <c r="AB262" s="127"/>
      <c r="AC262" s="127"/>
      <c r="AD262" s="127"/>
      <c r="AE262" s="127"/>
      <c r="AF262" s="127"/>
      <c r="AG262" s="127"/>
      <c r="AH262" s="127"/>
      <c r="AI262" s="127"/>
      <c r="AJ262" s="127"/>
      <c r="AK262" s="127"/>
      <c r="AL262" s="127"/>
      <c r="AM262" s="127"/>
      <c r="AN262" s="127"/>
      <c r="AO262" s="127"/>
    </row>
    <row r="263" spans="2:41" ht="13" x14ac:dyDescent="0.3">
      <c r="B263" s="534"/>
      <c r="C263" s="183"/>
      <c r="D263" s="183">
        <v>1</v>
      </c>
      <c r="E263" s="181">
        <v>40664</v>
      </c>
      <c r="F263" s="183">
        <v>1.5</v>
      </c>
      <c r="G263" s="203">
        <f t="shared" si="46"/>
        <v>337.5</v>
      </c>
      <c r="H263" s="183">
        <v>4</v>
      </c>
      <c r="I263" s="203">
        <f t="shared" si="48"/>
        <v>0</v>
      </c>
      <c r="J263" s="337">
        <v>0</v>
      </c>
      <c r="K263" s="127"/>
      <c r="L263" s="204">
        <f t="shared" si="49"/>
        <v>8000</v>
      </c>
      <c r="M263" s="204">
        <f t="shared" si="50"/>
        <v>6750</v>
      </c>
      <c r="N263" s="206">
        <f t="shared" si="47"/>
        <v>0</v>
      </c>
      <c r="O263" s="127"/>
      <c r="P263" s="127"/>
      <c r="Q263" s="127"/>
      <c r="R263" s="127"/>
      <c r="S263" s="127"/>
      <c r="T263" s="127"/>
      <c r="U263" s="127"/>
      <c r="V263" s="127"/>
      <c r="W263" s="209"/>
      <c r="X263" s="209"/>
      <c r="Y263" s="209"/>
      <c r="Z263" s="209"/>
      <c r="AA263" s="127"/>
      <c r="AB263" s="127"/>
      <c r="AC263" s="127"/>
      <c r="AD263" s="127"/>
      <c r="AE263" s="127"/>
      <c r="AF263" s="127"/>
      <c r="AG263" s="127"/>
      <c r="AH263" s="127"/>
      <c r="AI263" s="127"/>
      <c r="AJ263" s="127"/>
      <c r="AK263" s="127"/>
      <c r="AL263" s="127"/>
      <c r="AM263" s="127"/>
      <c r="AN263" s="127"/>
      <c r="AO263" s="127"/>
    </row>
    <row r="264" spans="2:41" ht="13" x14ac:dyDescent="0.3">
      <c r="B264" s="534"/>
      <c r="C264" s="183"/>
      <c r="D264" s="183">
        <v>1</v>
      </c>
      <c r="E264" s="181">
        <v>40678</v>
      </c>
      <c r="F264" s="183">
        <v>1.5</v>
      </c>
      <c r="G264" s="203">
        <f t="shared" si="46"/>
        <v>337.5</v>
      </c>
      <c r="H264" s="217">
        <v>3.5</v>
      </c>
      <c r="I264" s="203">
        <f t="shared" si="48"/>
        <v>-66.666666666666671</v>
      </c>
      <c r="J264" s="337">
        <v>0.05</v>
      </c>
      <c r="K264" s="127"/>
      <c r="L264" s="204">
        <f t="shared" si="49"/>
        <v>7000</v>
      </c>
      <c r="M264" s="204">
        <f t="shared" si="50"/>
        <v>6750</v>
      </c>
      <c r="N264" s="206">
        <f t="shared" si="47"/>
        <v>5</v>
      </c>
      <c r="O264" s="127"/>
      <c r="P264" s="127"/>
      <c r="Q264" s="127"/>
      <c r="R264" s="127"/>
      <c r="S264" s="127"/>
      <c r="T264" s="127"/>
      <c r="U264" s="127"/>
      <c r="V264" s="127"/>
      <c r="W264" s="209"/>
      <c r="X264" s="209"/>
      <c r="Y264" s="209"/>
      <c r="Z264" s="209"/>
      <c r="AA264" s="127"/>
      <c r="AB264" s="127"/>
      <c r="AC264" s="127"/>
      <c r="AD264" s="127"/>
      <c r="AE264" s="127"/>
      <c r="AF264" s="127"/>
      <c r="AG264" s="127"/>
      <c r="AH264" s="127"/>
      <c r="AI264" s="127"/>
      <c r="AJ264" s="127"/>
      <c r="AK264" s="127"/>
      <c r="AL264" s="127"/>
      <c r="AM264" s="127"/>
      <c r="AN264" s="127"/>
      <c r="AO264" s="127"/>
    </row>
    <row r="265" spans="2:41" ht="13" x14ac:dyDescent="0.3">
      <c r="B265" s="534"/>
      <c r="C265" s="183"/>
      <c r="D265" s="183">
        <v>1</v>
      </c>
      <c r="E265" s="181">
        <v>40695</v>
      </c>
      <c r="F265" s="183">
        <v>1.75</v>
      </c>
      <c r="G265" s="203">
        <f t="shared" si="46"/>
        <v>393.75</v>
      </c>
      <c r="H265" s="217">
        <v>4.5</v>
      </c>
      <c r="I265" s="203">
        <f t="shared" si="48"/>
        <v>133.33333333333334</v>
      </c>
      <c r="J265" s="337">
        <v>0.05</v>
      </c>
      <c r="K265" s="127"/>
      <c r="L265" s="204">
        <f t="shared" si="49"/>
        <v>9000</v>
      </c>
      <c r="M265" s="204">
        <f t="shared" si="50"/>
        <v>7875</v>
      </c>
      <c r="N265" s="206">
        <f t="shared" si="47"/>
        <v>5</v>
      </c>
      <c r="O265" s="127"/>
      <c r="P265" s="127"/>
      <c r="Q265" s="127"/>
      <c r="R265" s="127"/>
      <c r="S265" s="127"/>
      <c r="T265" s="127"/>
      <c r="U265" s="127"/>
      <c r="V265" s="127"/>
      <c r="W265" s="209"/>
      <c r="X265" s="209"/>
      <c r="Y265" s="209"/>
      <c r="Z265" s="209"/>
      <c r="AA265" s="127"/>
      <c r="AB265" s="127"/>
      <c r="AC265" s="127"/>
      <c r="AD265" s="127"/>
      <c r="AE265" s="127"/>
      <c r="AF265" s="127"/>
      <c r="AG265" s="127"/>
      <c r="AH265" s="127"/>
      <c r="AI265" s="127"/>
      <c r="AJ265" s="127"/>
      <c r="AK265" s="127"/>
      <c r="AL265" s="127"/>
      <c r="AM265" s="127"/>
      <c r="AN265" s="127"/>
      <c r="AO265" s="127"/>
    </row>
    <row r="266" spans="2:41" ht="13" x14ac:dyDescent="0.3">
      <c r="B266" s="534"/>
      <c r="C266" s="183"/>
      <c r="D266" s="183">
        <v>1</v>
      </c>
      <c r="E266" s="181">
        <v>40709</v>
      </c>
      <c r="F266" s="183">
        <v>2</v>
      </c>
      <c r="G266" s="203">
        <f t="shared" si="46"/>
        <v>450</v>
      </c>
      <c r="H266" s="217">
        <v>5</v>
      </c>
      <c r="I266" s="203">
        <f t="shared" si="48"/>
        <v>66.666666666666671</v>
      </c>
      <c r="J266" s="337">
        <v>0.05</v>
      </c>
      <c r="K266" s="127"/>
      <c r="L266" s="204">
        <f t="shared" si="49"/>
        <v>10000</v>
      </c>
      <c r="M266" s="204">
        <f t="shared" si="50"/>
        <v>9000</v>
      </c>
      <c r="N266" s="206">
        <f t="shared" si="47"/>
        <v>5</v>
      </c>
      <c r="O266" s="127"/>
      <c r="P266" s="127"/>
      <c r="Q266" s="127"/>
      <c r="R266" s="127"/>
      <c r="S266" s="127"/>
      <c r="T266" s="127"/>
      <c r="U266" s="127"/>
      <c r="V266" s="127"/>
      <c r="W266" s="209"/>
      <c r="X266" s="209"/>
      <c r="Y266" s="209"/>
      <c r="Z266" s="209"/>
      <c r="AA266" s="127"/>
      <c r="AB266" s="127"/>
      <c r="AC266" s="127"/>
      <c r="AD266" s="127"/>
      <c r="AE266" s="127"/>
      <c r="AF266" s="127"/>
      <c r="AG266" s="127"/>
      <c r="AH266" s="127"/>
      <c r="AI266" s="127"/>
      <c r="AJ266" s="127"/>
      <c r="AK266" s="127"/>
      <c r="AL266" s="127"/>
      <c r="AM266" s="127"/>
      <c r="AN266" s="127"/>
      <c r="AO266" s="127"/>
    </row>
    <row r="267" spans="2:41" ht="13" x14ac:dyDescent="0.3">
      <c r="B267" s="534"/>
      <c r="C267" s="183"/>
      <c r="D267" s="183">
        <v>1</v>
      </c>
      <c r="E267" s="181">
        <v>40725</v>
      </c>
      <c r="F267" s="183">
        <v>2</v>
      </c>
      <c r="G267" s="203">
        <f t="shared" si="46"/>
        <v>450</v>
      </c>
      <c r="H267" s="217">
        <v>5.0999999999999996</v>
      </c>
      <c r="I267" s="203">
        <f t="shared" si="48"/>
        <v>13.333333333333334</v>
      </c>
      <c r="J267" s="337">
        <v>0.05</v>
      </c>
      <c r="K267" s="127"/>
      <c r="L267" s="204">
        <f t="shared" si="49"/>
        <v>10200</v>
      </c>
      <c r="M267" s="204">
        <f t="shared" si="50"/>
        <v>9000</v>
      </c>
      <c r="N267" s="206">
        <f t="shared" si="47"/>
        <v>5</v>
      </c>
      <c r="O267" s="127"/>
      <c r="P267" s="127"/>
      <c r="Q267" s="127"/>
      <c r="R267" s="127"/>
      <c r="S267" s="127"/>
      <c r="T267" s="127"/>
      <c r="U267" s="127"/>
      <c r="V267" s="127"/>
      <c r="W267" s="209"/>
      <c r="X267" s="209"/>
      <c r="Y267" s="209"/>
      <c r="Z267" s="209"/>
      <c r="AA267" s="127"/>
      <c r="AB267" s="127"/>
      <c r="AC267" s="127"/>
      <c r="AD267" s="127"/>
      <c r="AE267" s="127"/>
      <c r="AF267" s="127"/>
      <c r="AG267" s="127"/>
      <c r="AH267" s="127"/>
      <c r="AI267" s="127"/>
      <c r="AJ267" s="127"/>
      <c r="AK267" s="127"/>
      <c r="AL267" s="127"/>
      <c r="AM267" s="127"/>
      <c r="AN267" s="127"/>
      <c r="AO267" s="127"/>
    </row>
    <row r="268" spans="2:41" ht="13" x14ac:dyDescent="0.3">
      <c r="B268" s="534"/>
      <c r="C268" s="183"/>
      <c r="D268" s="183">
        <v>1</v>
      </c>
      <c r="E268" s="181">
        <v>40739</v>
      </c>
      <c r="F268" s="183">
        <v>1.75</v>
      </c>
      <c r="G268" s="203">
        <f t="shared" si="46"/>
        <v>393.75</v>
      </c>
      <c r="H268" s="217">
        <v>5.2</v>
      </c>
      <c r="I268" s="203">
        <f t="shared" si="48"/>
        <v>13.333333333333334</v>
      </c>
      <c r="J268" s="337">
        <v>0.05</v>
      </c>
      <c r="K268" s="127"/>
      <c r="L268" s="204">
        <f t="shared" si="49"/>
        <v>10400</v>
      </c>
      <c r="M268" s="204">
        <f t="shared" si="50"/>
        <v>7875</v>
      </c>
      <c r="N268" s="206">
        <f t="shared" si="47"/>
        <v>5</v>
      </c>
      <c r="O268" s="127"/>
      <c r="P268" s="127"/>
      <c r="Q268" s="127"/>
      <c r="R268" s="127"/>
      <c r="S268" s="127"/>
      <c r="T268" s="127"/>
      <c r="U268" s="127"/>
      <c r="V268" s="127"/>
      <c r="W268" s="209"/>
      <c r="X268" s="209"/>
      <c r="Y268" s="209"/>
      <c r="Z268" s="209"/>
      <c r="AA268" s="127"/>
      <c r="AB268" s="127"/>
      <c r="AC268" s="127"/>
      <c r="AD268" s="127"/>
      <c r="AE268" s="127"/>
      <c r="AF268" s="127"/>
      <c r="AG268" s="127"/>
      <c r="AH268" s="127"/>
      <c r="AI268" s="127"/>
      <c r="AJ268" s="127"/>
      <c r="AK268" s="127"/>
      <c r="AL268" s="127"/>
      <c r="AM268" s="127"/>
      <c r="AN268" s="127"/>
      <c r="AO268" s="127"/>
    </row>
    <row r="269" spans="2:41" ht="13" x14ac:dyDescent="0.3">
      <c r="B269" s="534"/>
      <c r="C269" s="183"/>
      <c r="D269" s="183">
        <v>1</v>
      </c>
      <c r="E269" s="181">
        <v>40756</v>
      </c>
      <c r="F269" s="183">
        <v>2</v>
      </c>
      <c r="G269" s="203">
        <f t="shared" si="46"/>
        <v>450</v>
      </c>
      <c r="H269" s="217">
        <v>5.5</v>
      </c>
      <c r="I269" s="203">
        <f t="shared" si="48"/>
        <v>40</v>
      </c>
      <c r="J269" s="337">
        <v>0.05</v>
      </c>
      <c r="K269" s="127"/>
      <c r="L269" s="204">
        <f t="shared" si="49"/>
        <v>11000</v>
      </c>
      <c r="M269" s="204">
        <f t="shared" si="50"/>
        <v>9000</v>
      </c>
      <c r="N269" s="206">
        <f t="shared" si="47"/>
        <v>5</v>
      </c>
      <c r="O269" s="127"/>
      <c r="P269" s="127"/>
      <c r="Q269" s="127"/>
      <c r="R269" s="127"/>
      <c r="S269" s="127"/>
      <c r="T269" s="127"/>
      <c r="U269" s="127"/>
      <c r="V269" s="127"/>
      <c r="W269" s="209"/>
      <c r="X269" s="209"/>
      <c r="Y269" s="209"/>
      <c r="Z269" s="209"/>
      <c r="AA269" s="127"/>
      <c r="AB269" s="127"/>
      <c r="AC269" s="127"/>
      <c r="AD269" s="127"/>
      <c r="AE269" s="127"/>
      <c r="AF269" s="127"/>
      <c r="AG269" s="127"/>
      <c r="AH269" s="127"/>
      <c r="AI269" s="127"/>
      <c r="AJ269" s="127"/>
      <c r="AK269" s="127"/>
      <c r="AL269" s="127"/>
      <c r="AM269" s="127"/>
      <c r="AN269" s="127"/>
      <c r="AO269" s="127"/>
    </row>
    <row r="270" spans="2:41" ht="13" x14ac:dyDescent="0.3">
      <c r="B270" s="534"/>
      <c r="C270" s="183"/>
      <c r="D270" s="183">
        <v>1</v>
      </c>
      <c r="E270" s="181">
        <v>40770</v>
      </c>
      <c r="F270" s="183">
        <v>2.2000000000000002</v>
      </c>
      <c r="G270" s="203">
        <f t="shared" si="46"/>
        <v>495</v>
      </c>
      <c r="H270" s="217">
        <v>6</v>
      </c>
      <c r="I270" s="203">
        <f t="shared" si="48"/>
        <v>66.666666666666671</v>
      </c>
      <c r="J270" s="337">
        <v>0.05</v>
      </c>
      <c r="K270" s="127"/>
      <c r="L270" s="204">
        <f t="shared" si="49"/>
        <v>12000</v>
      </c>
      <c r="M270" s="204">
        <f t="shared" si="50"/>
        <v>9900</v>
      </c>
      <c r="N270" s="206">
        <f t="shared" si="47"/>
        <v>5</v>
      </c>
      <c r="O270" s="127"/>
      <c r="P270" s="127"/>
      <c r="Q270" s="127"/>
      <c r="R270" s="127"/>
      <c r="S270" s="127"/>
      <c r="T270" s="127"/>
      <c r="U270" s="127"/>
      <c r="V270" s="127"/>
      <c r="W270" s="209"/>
      <c r="X270" s="209"/>
      <c r="Y270" s="209"/>
      <c r="Z270" s="209"/>
      <c r="AA270" s="127"/>
      <c r="AB270" s="127"/>
      <c r="AC270" s="127"/>
      <c r="AD270" s="127"/>
      <c r="AE270" s="127"/>
      <c r="AF270" s="127"/>
      <c r="AG270" s="127"/>
      <c r="AH270" s="127"/>
      <c r="AI270" s="127"/>
      <c r="AJ270" s="127"/>
      <c r="AK270" s="127"/>
      <c r="AL270" s="127"/>
      <c r="AM270" s="127"/>
      <c r="AN270" s="127"/>
      <c r="AO270" s="127"/>
    </row>
    <row r="271" spans="2:41" ht="13" x14ac:dyDescent="0.3">
      <c r="B271" s="534"/>
      <c r="C271" s="183"/>
      <c r="D271" s="183">
        <v>1</v>
      </c>
      <c r="E271" s="181">
        <v>40787</v>
      </c>
      <c r="F271" s="183">
        <v>2</v>
      </c>
      <c r="G271" s="203">
        <f t="shared" si="46"/>
        <v>450</v>
      </c>
      <c r="H271" s="217">
        <v>6.2</v>
      </c>
      <c r="I271" s="203">
        <f t="shared" si="48"/>
        <v>26.666666666666668</v>
      </c>
      <c r="J271" s="337">
        <v>0.02</v>
      </c>
      <c r="K271" s="127"/>
      <c r="L271" s="204">
        <f t="shared" si="49"/>
        <v>12400</v>
      </c>
      <c r="M271" s="204">
        <f t="shared" si="50"/>
        <v>9000</v>
      </c>
      <c r="N271" s="206">
        <f t="shared" si="47"/>
        <v>2</v>
      </c>
      <c r="O271" s="127"/>
      <c r="P271" s="127"/>
      <c r="Q271" s="127"/>
      <c r="R271" s="127"/>
      <c r="S271" s="127"/>
      <c r="T271" s="127"/>
      <c r="U271" s="127"/>
      <c r="V271" s="127"/>
      <c r="W271" s="209"/>
      <c r="X271" s="209"/>
      <c r="Y271" s="209"/>
      <c r="Z271" s="209"/>
      <c r="AA271" s="127"/>
      <c r="AB271" s="127"/>
      <c r="AC271" s="127"/>
      <c r="AD271" s="127"/>
      <c r="AE271" s="127"/>
      <c r="AF271" s="127"/>
      <c r="AG271" s="127"/>
      <c r="AH271" s="127"/>
      <c r="AI271" s="127"/>
      <c r="AJ271" s="127"/>
      <c r="AK271" s="127"/>
      <c r="AL271" s="127"/>
      <c r="AM271" s="127"/>
      <c r="AN271" s="127"/>
      <c r="AO271" s="127"/>
    </row>
    <row r="272" spans="2:41" ht="13" x14ac:dyDescent="0.3">
      <c r="B272" s="534"/>
      <c r="C272" s="183"/>
      <c r="D272" s="183">
        <v>1</v>
      </c>
      <c r="E272" s="181">
        <v>40801</v>
      </c>
      <c r="F272" s="183">
        <v>2</v>
      </c>
      <c r="G272" s="203">
        <f t="shared" si="46"/>
        <v>450</v>
      </c>
      <c r="H272" s="217">
        <v>6.5</v>
      </c>
      <c r="I272" s="203">
        <f t="shared" si="48"/>
        <v>40</v>
      </c>
      <c r="J272" s="337">
        <v>0.02</v>
      </c>
      <c r="K272" s="127"/>
      <c r="L272" s="204">
        <f t="shared" si="49"/>
        <v>13000</v>
      </c>
      <c r="M272" s="204">
        <f t="shared" si="50"/>
        <v>9000</v>
      </c>
      <c r="N272" s="206">
        <f t="shared" si="47"/>
        <v>2</v>
      </c>
      <c r="O272" s="127"/>
      <c r="P272" s="127"/>
      <c r="Q272" s="127"/>
      <c r="R272" s="127"/>
      <c r="S272" s="127"/>
      <c r="T272" s="127"/>
      <c r="U272" s="127"/>
      <c r="V272" s="127"/>
      <c r="W272" s="209"/>
      <c r="X272" s="209"/>
      <c r="Y272" s="209"/>
      <c r="Z272" s="209"/>
      <c r="AA272" s="127"/>
      <c r="AB272" s="127"/>
      <c r="AC272" s="127"/>
      <c r="AD272" s="127"/>
      <c r="AE272" s="127"/>
      <c r="AF272" s="127"/>
      <c r="AG272" s="127"/>
      <c r="AH272" s="127"/>
      <c r="AI272" s="127"/>
      <c r="AJ272" s="127"/>
      <c r="AK272" s="127"/>
      <c r="AL272" s="127"/>
      <c r="AM272" s="127"/>
      <c r="AN272" s="127"/>
      <c r="AO272" s="127"/>
    </row>
    <row r="273" spans="2:41" ht="13" x14ac:dyDescent="0.3">
      <c r="B273" s="534"/>
      <c r="C273" s="183">
        <v>1</v>
      </c>
      <c r="D273" s="183"/>
      <c r="E273" s="181">
        <v>40817</v>
      </c>
      <c r="F273" s="183">
        <v>1.5</v>
      </c>
      <c r="G273" s="203">
        <f t="shared" si="46"/>
        <v>337.5</v>
      </c>
      <c r="H273" s="183">
        <v>6.5</v>
      </c>
      <c r="I273" s="203">
        <f t="shared" si="48"/>
        <v>0</v>
      </c>
      <c r="J273" s="337">
        <v>0</v>
      </c>
      <c r="K273" s="127"/>
      <c r="L273" s="204">
        <f t="shared" si="49"/>
        <v>13000</v>
      </c>
      <c r="M273" s="204">
        <f t="shared" si="50"/>
        <v>6750</v>
      </c>
      <c r="N273" s="206">
        <f t="shared" si="47"/>
        <v>0</v>
      </c>
      <c r="O273" s="127"/>
      <c r="P273" s="127"/>
      <c r="Q273" s="127"/>
      <c r="R273" s="127"/>
      <c r="S273" s="127"/>
      <c r="T273" s="127"/>
      <c r="U273" s="127"/>
      <c r="V273" s="127"/>
      <c r="W273" s="209"/>
      <c r="X273" s="209"/>
      <c r="Y273" s="209"/>
      <c r="Z273" s="209"/>
      <c r="AA273" s="127"/>
      <c r="AB273" s="127"/>
      <c r="AC273" s="127"/>
      <c r="AD273" s="127"/>
      <c r="AE273" s="127"/>
      <c r="AF273" s="127"/>
      <c r="AG273" s="127"/>
      <c r="AH273" s="127"/>
      <c r="AI273" s="127"/>
      <c r="AJ273" s="127"/>
      <c r="AK273" s="127"/>
      <c r="AL273" s="127"/>
      <c r="AM273" s="127"/>
      <c r="AN273" s="127"/>
      <c r="AO273" s="127"/>
    </row>
    <row r="274" spans="2:41" ht="13" x14ac:dyDescent="0.3">
      <c r="B274" s="534"/>
      <c r="C274" s="183">
        <v>1</v>
      </c>
      <c r="D274" s="183"/>
      <c r="E274" s="181">
        <v>40831</v>
      </c>
      <c r="F274" s="183">
        <v>1.5</v>
      </c>
      <c r="G274" s="203">
        <f t="shared" si="46"/>
        <v>337.5</v>
      </c>
      <c r="H274" s="183">
        <v>6</v>
      </c>
      <c r="I274" s="203">
        <f t="shared" si="48"/>
        <v>-66.666666666666671</v>
      </c>
      <c r="J274" s="337">
        <v>0</v>
      </c>
      <c r="K274" s="127"/>
      <c r="L274" s="204">
        <f t="shared" si="49"/>
        <v>12000</v>
      </c>
      <c r="M274" s="204">
        <f t="shared" si="50"/>
        <v>6750</v>
      </c>
      <c r="N274" s="206">
        <f t="shared" si="47"/>
        <v>0</v>
      </c>
      <c r="O274" s="127"/>
      <c r="P274" s="127"/>
      <c r="Q274" s="127"/>
      <c r="R274" s="127"/>
      <c r="S274" s="127"/>
      <c r="T274" s="127"/>
      <c r="U274" s="127"/>
      <c r="V274" s="127"/>
      <c r="W274" s="209"/>
      <c r="X274" s="209"/>
      <c r="Y274" s="209"/>
      <c r="Z274" s="209"/>
      <c r="AA274" s="127"/>
      <c r="AB274" s="127"/>
      <c r="AC274" s="127"/>
      <c r="AD274" s="127"/>
      <c r="AE274" s="127"/>
      <c r="AF274" s="127"/>
      <c r="AG274" s="127"/>
      <c r="AH274" s="127"/>
      <c r="AI274" s="127"/>
      <c r="AJ274" s="127"/>
      <c r="AK274" s="127"/>
      <c r="AL274" s="127"/>
      <c r="AM274" s="127"/>
      <c r="AN274" s="127"/>
      <c r="AO274" s="127"/>
    </row>
    <row r="275" spans="2:41" ht="13" x14ac:dyDescent="0.3">
      <c r="B275" s="534"/>
      <c r="C275" s="183">
        <v>1</v>
      </c>
      <c r="D275" s="183"/>
      <c r="E275" s="181">
        <v>40848</v>
      </c>
      <c r="F275" s="183">
        <v>1</v>
      </c>
      <c r="G275" s="203">
        <f t="shared" si="46"/>
        <v>225</v>
      </c>
      <c r="H275" s="183">
        <v>5.5</v>
      </c>
      <c r="I275" s="203">
        <f t="shared" si="48"/>
        <v>-66.666666666666671</v>
      </c>
      <c r="J275" s="337">
        <v>0</v>
      </c>
      <c r="K275" s="127"/>
      <c r="L275" s="204">
        <f t="shared" si="49"/>
        <v>11000</v>
      </c>
      <c r="M275" s="204">
        <f t="shared" si="50"/>
        <v>4500</v>
      </c>
      <c r="N275" s="206">
        <f t="shared" si="47"/>
        <v>0</v>
      </c>
      <c r="O275" s="127"/>
      <c r="P275" s="127"/>
      <c r="Q275" s="127"/>
      <c r="R275" s="127"/>
      <c r="S275" s="127"/>
      <c r="T275" s="127"/>
      <c r="U275" s="127"/>
      <c r="V275" s="127"/>
      <c r="W275" s="209"/>
      <c r="X275" s="209"/>
      <c r="Y275" s="209"/>
      <c r="Z275" s="209"/>
      <c r="AA275" s="127"/>
      <c r="AB275" s="127"/>
      <c r="AC275" s="127"/>
      <c r="AD275" s="127"/>
      <c r="AE275" s="127"/>
      <c r="AF275" s="127"/>
      <c r="AG275" s="127"/>
      <c r="AH275" s="127"/>
      <c r="AI275" s="127"/>
      <c r="AJ275" s="127"/>
      <c r="AK275" s="127"/>
      <c r="AL275" s="127"/>
      <c r="AM275" s="127"/>
      <c r="AN275" s="127"/>
      <c r="AO275" s="127"/>
    </row>
    <row r="276" spans="2:41" ht="13" x14ac:dyDescent="0.3">
      <c r="B276" s="534"/>
      <c r="C276" s="183">
        <v>1</v>
      </c>
      <c r="D276" s="183"/>
      <c r="E276" s="181">
        <v>40862</v>
      </c>
      <c r="F276" s="183">
        <v>0</v>
      </c>
      <c r="G276" s="203">
        <f t="shared" si="46"/>
        <v>0</v>
      </c>
      <c r="H276" s="183">
        <v>5</v>
      </c>
      <c r="I276" s="203">
        <f t="shared" si="48"/>
        <v>-66.666666666666671</v>
      </c>
      <c r="J276" s="337">
        <v>0</v>
      </c>
      <c r="K276" s="127"/>
      <c r="L276" s="204">
        <f t="shared" si="49"/>
        <v>10000</v>
      </c>
      <c r="M276" s="204">
        <f t="shared" si="50"/>
        <v>0</v>
      </c>
      <c r="N276" s="206">
        <f t="shared" si="47"/>
        <v>0</v>
      </c>
      <c r="O276" s="127"/>
      <c r="P276" s="127"/>
      <c r="Q276" s="127"/>
      <c r="R276" s="127"/>
      <c r="S276" s="127"/>
      <c r="T276" s="127"/>
      <c r="U276" s="127"/>
      <c r="V276" s="127"/>
      <c r="W276" s="209"/>
      <c r="X276" s="209"/>
      <c r="Y276" s="209"/>
      <c r="Z276" s="209"/>
      <c r="AA276" s="127"/>
      <c r="AB276" s="127"/>
      <c r="AC276" s="127"/>
      <c r="AD276" s="127"/>
      <c r="AE276" s="127"/>
      <c r="AF276" s="127"/>
      <c r="AG276" s="127"/>
      <c r="AH276" s="127"/>
      <c r="AI276" s="127"/>
      <c r="AJ276" s="127"/>
      <c r="AK276" s="127"/>
      <c r="AL276" s="127"/>
      <c r="AM276" s="127"/>
      <c r="AN276" s="127"/>
      <c r="AO276" s="127"/>
    </row>
    <row r="277" spans="2:41" ht="13" x14ac:dyDescent="0.3">
      <c r="B277" s="534"/>
      <c r="C277" s="183">
        <v>1</v>
      </c>
      <c r="D277" s="183"/>
      <c r="E277" s="181">
        <v>40878</v>
      </c>
      <c r="F277" s="183">
        <v>0</v>
      </c>
      <c r="G277" s="203">
        <f t="shared" si="46"/>
        <v>0</v>
      </c>
      <c r="H277" s="183">
        <v>5</v>
      </c>
      <c r="I277" s="203">
        <f t="shared" si="48"/>
        <v>0</v>
      </c>
      <c r="J277" s="337">
        <v>0</v>
      </c>
      <c r="K277" s="127"/>
      <c r="L277" s="204">
        <f t="shared" si="49"/>
        <v>10000</v>
      </c>
      <c r="M277" s="204">
        <f t="shared" si="50"/>
        <v>0</v>
      </c>
      <c r="N277" s="206">
        <f t="shared" si="47"/>
        <v>0</v>
      </c>
      <c r="O277" s="127"/>
      <c r="P277" s="127"/>
      <c r="Q277" s="127"/>
      <c r="R277" s="127"/>
      <c r="S277" s="127"/>
      <c r="T277" s="127"/>
      <c r="U277" s="127"/>
      <c r="V277" s="127"/>
      <c r="W277" s="209"/>
      <c r="X277" s="209"/>
      <c r="Y277" s="209"/>
      <c r="Z277" s="209"/>
      <c r="AA277" s="127"/>
      <c r="AB277" s="127"/>
      <c r="AC277" s="127"/>
      <c r="AD277" s="127"/>
      <c r="AE277" s="127"/>
      <c r="AF277" s="127"/>
      <c r="AG277" s="127"/>
      <c r="AH277" s="127"/>
      <c r="AI277" s="127"/>
      <c r="AJ277" s="127"/>
      <c r="AK277" s="127"/>
      <c r="AL277" s="127"/>
      <c r="AM277" s="127"/>
      <c r="AN277" s="127"/>
      <c r="AO277" s="127"/>
    </row>
    <row r="278" spans="2:41" ht="13" x14ac:dyDescent="0.3">
      <c r="B278" s="535"/>
      <c r="C278" s="183">
        <v>1</v>
      </c>
      <c r="D278" s="183"/>
      <c r="E278" s="181">
        <v>40892</v>
      </c>
      <c r="F278" s="183">
        <v>0</v>
      </c>
      <c r="G278" s="208">
        <f t="shared" si="46"/>
        <v>0</v>
      </c>
      <c r="H278" s="183">
        <v>5</v>
      </c>
      <c r="I278" s="203">
        <f t="shared" si="48"/>
        <v>0</v>
      </c>
      <c r="J278" s="337">
        <v>0</v>
      </c>
      <c r="K278" s="127"/>
      <c r="L278" s="204">
        <f t="shared" si="49"/>
        <v>10000</v>
      </c>
      <c r="M278" s="204">
        <f t="shared" si="50"/>
        <v>0</v>
      </c>
      <c r="N278" s="206">
        <f t="shared" si="47"/>
        <v>0</v>
      </c>
      <c r="O278" s="127"/>
      <c r="P278" s="127"/>
      <c r="Q278" s="127"/>
      <c r="R278" s="127"/>
      <c r="S278" s="127"/>
      <c r="T278" s="127"/>
      <c r="U278" s="127"/>
      <c r="V278" s="127"/>
      <c r="W278" s="209"/>
      <c r="X278" s="209"/>
      <c r="Y278" s="209"/>
      <c r="Z278" s="209"/>
      <c r="AA278" s="127"/>
      <c r="AB278" s="127"/>
      <c r="AC278" s="127"/>
      <c r="AD278" s="127"/>
      <c r="AE278" s="127"/>
      <c r="AF278" s="127"/>
      <c r="AG278" s="127"/>
      <c r="AH278" s="127"/>
      <c r="AI278" s="127"/>
      <c r="AJ278" s="127"/>
      <c r="AK278" s="127"/>
      <c r="AL278" s="127"/>
      <c r="AM278" s="127"/>
      <c r="AN278" s="127"/>
      <c r="AO278" s="127"/>
    </row>
    <row r="279" spans="2:41" x14ac:dyDescent="0.25">
      <c r="B279" s="127"/>
      <c r="C279" s="127"/>
      <c r="D279" s="175"/>
      <c r="E279" s="314">
        <v>43100</v>
      </c>
      <c r="F279" s="300">
        <f>G255</f>
        <v>0</v>
      </c>
      <c r="G279" s="300">
        <f>H255</f>
        <v>5</v>
      </c>
      <c r="H279" s="300">
        <f>I255</f>
        <v>0</v>
      </c>
      <c r="I279" s="300">
        <f>J255</f>
        <v>0</v>
      </c>
      <c r="J279" s="334">
        <f>K255</f>
        <v>0</v>
      </c>
      <c r="K279" s="300"/>
      <c r="L279" s="300">
        <f>M255</f>
        <v>0</v>
      </c>
      <c r="M279" s="300">
        <f>N255</f>
        <v>0</v>
      </c>
      <c r="N279" s="315">
        <f>O255</f>
        <v>0</v>
      </c>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row>
    <row r="280" spans="2:41" x14ac:dyDescent="0.25">
      <c r="B280" s="127"/>
      <c r="C280" s="127"/>
      <c r="D280" s="175"/>
      <c r="E280" s="127"/>
      <c r="F280" s="127"/>
      <c r="G280" s="127"/>
      <c r="H280" s="127"/>
      <c r="I280" s="127"/>
      <c r="J280" s="328"/>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row>
    <row r="281" spans="2:41" x14ac:dyDescent="0.25">
      <c r="B281" s="127"/>
      <c r="C281" s="127"/>
      <c r="D281" s="175"/>
      <c r="E281" s="127"/>
      <c r="F281" s="127"/>
      <c r="G281" s="127"/>
      <c r="H281" s="127"/>
      <c r="I281" s="127"/>
      <c r="J281" s="328"/>
      <c r="K281" s="213"/>
      <c r="L281" s="213"/>
      <c r="M281" s="213"/>
      <c r="N281" s="213"/>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row>
    <row r="282" spans="2:41" x14ac:dyDescent="0.25">
      <c r="B282" s="127"/>
      <c r="C282" s="127"/>
      <c r="D282" s="218"/>
      <c r="E282" s="213"/>
      <c r="F282" s="213"/>
      <c r="G282" s="213"/>
      <c r="H282" s="213"/>
      <c r="I282" s="127"/>
      <c r="J282" s="328"/>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row>
    <row r="283" spans="2:41" x14ac:dyDescent="0.25">
      <c r="B283" s="127"/>
      <c r="C283" s="127"/>
      <c r="D283" s="219"/>
      <c r="E283" s="207"/>
      <c r="F283" s="207"/>
      <c r="G283" s="207"/>
      <c r="H283" s="207"/>
      <c r="I283" s="127"/>
      <c r="J283" s="328"/>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row>
    <row r="284" spans="2:41" x14ac:dyDescent="0.25">
      <c r="B284" s="127"/>
      <c r="C284" s="127"/>
      <c r="D284" s="175"/>
      <c r="E284" s="127"/>
      <c r="F284" s="127"/>
      <c r="G284" s="127"/>
      <c r="H284" s="127"/>
      <c r="I284" s="127"/>
      <c r="J284" s="328"/>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row>
    <row r="285" spans="2:41" x14ac:dyDescent="0.25">
      <c r="B285" s="127"/>
      <c r="C285" s="127"/>
      <c r="D285" s="127"/>
      <c r="E285" s="127"/>
      <c r="F285" s="127"/>
      <c r="G285" s="127"/>
      <c r="H285" s="127"/>
      <c r="I285" s="127"/>
      <c r="J285" s="328"/>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row>
    <row r="286" spans="2:41" x14ac:dyDescent="0.25">
      <c r="B286" s="127"/>
      <c r="C286" s="127"/>
      <c r="D286" s="213"/>
      <c r="E286" s="213"/>
      <c r="F286" s="213"/>
      <c r="G286" s="213"/>
      <c r="H286" s="213"/>
      <c r="I286" s="127"/>
      <c r="J286" s="328"/>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row>
    <row r="287" spans="2:41" x14ac:dyDescent="0.25">
      <c r="B287" s="127"/>
      <c r="C287" s="127"/>
      <c r="D287" s="207"/>
      <c r="E287" s="207"/>
      <c r="F287" s="207"/>
      <c r="G287" s="207"/>
      <c r="H287" s="207"/>
      <c r="I287" s="127"/>
      <c r="J287" s="328"/>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row>
    <row r="288" spans="2:41" x14ac:dyDescent="0.25">
      <c r="B288" s="127"/>
      <c r="C288" s="127"/>
      <c r="D288" s="175"/>
      <c r="E288" s="127"/>
      <c r="F288" s="127"/>
      <c r="G288" s="127"/>
      <c r="H288" s="127"/>
      <c r="I288" s="127"/>
      <c r="J288" s="328"/>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row>
    <row r="289" spans="2:41" x14ac:dyDescent="0.25">
      <c r="B289" s="127"/>
      <c r="C289" s="127"/>
      <c r="D289" s="175"/>
      <c r="E289" s="127"/>
      <c r="F289" s="127"/>
      <c r="G289" s="127"/>
      <c r="H289" s="127"/>
      <c r="I289" s="127"/>
      <c r="J289" s="328"/>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row>
    <row r="290" spans="2:41" x14ac:dyDescent="0.25">
      <c r="B290" s="127"/>
      <c r="C290" s="127"/>
      <c r="D290" s="175"/>
      <c r="E290" s="127"/>
      <c r="F290" s="127"/>
      <c r="G290" s="127"/>
      <c r="H290" s="127"/>
      <c r="I290" s="127"/>
      <c r="J290" s="328"/>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row>
    <row r="291" spans="2:41" x14ac:dyDescent="0.25">
      <c r="B291" s="127"/>
      <c r="C291" s="127"/>
      <c r="D291" s="175"/>
      <c r="E291" s="127"/>
      <c r="F291" s="127"/>
      <c r="G291" s="127"/>
      <c r="H291" s="127"/>
      <c r="I291" s="127"/>
      <c r="J291" s="328"/>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row>
    <row r="292" spans="2:41" x14ac:dyDescent="0.25">
      <c r="B292" s="127"/>
      <c r="C292" s="127"/>
      <c r="D292" s="175"/>
      <c r="E292" s="127"/>
      <c r="F292" s="127"/>
      <c r="G292" s="127"/>
      <c r="H292" s="127"/>
      <c r="I292" s="127"/>
      <c r="J292" s="328"/>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row>
    <row r="293" spans="2:41" x14ac:dyDescent="0.25">
      <c r="B293" s="127"/>
      <c r="C293" s="127"/>
      <c r="D293" s="175"/>
      <c r="E293" s="127"/>
      <c r="F293" s="127"/>
      <c r="G293" s="127"/>
      <c r="H293" s="127"/>
      <c r="I293" s="127"/>
      <c r="J293" s="328"/>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row>
    <row r="294" spans="2:41" x14ac:dyDescent="0.25">
      <c r="B294" s="127"/>
      <c r="C294" s="127"/>
      <c r="D294" s="175"/>
      <c r="E294" s="127"/>
      <c r="F294" s="127"/>
      <c r="G294" s="127"/>
      <c r="H294" s="127"/>
      <c r="I294" s="127"/>
      <c r="J294" s="328"/>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row>
    <row r="295" spans="2:41" x14ac:dyDescent="0.25">
      <c r="B295" s="127"/>
      <c r="C295" s="127"/>
      <c r="D295" s="175"/>
      <c r="E295" s="127"/>
      <c r="F295" s="127"/>
      <c r="G295" s="127"/>
      <c r="H295" s="127"/>
      <c r="I295" s="127"/>
      <c r="J295" s="328"/>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row>
    <row r="296" spans="2:41" x14ac:dyDescent="0.25">
      <c r="B296" s="127"/>
      <c r="C296" s="127"/>
      <c r="D296" s="175"/>
      <c r="E296" s="127"/>
      <c r="F296" s="127"/>
      <c r="G296" s="127"/>
      <c r="H296" s="127"/>
      <c r="I296" s="127"/>
      <c r="J296" s="328"/>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row>
    <row r="297" spans="2:41" x14ac:dyDescent="0.25">
      <c r="B297" s="127"/>
      <c r="C297" s="127"/>
      <c r="D297" s="175"/>
      <c r="E297" s="127"/>
      <c r="F297" s="127"/>
      <c r="G297" s="127"/>
      <c r="H297" s="127"/>
      <c r="I297" s="127"/>
      <c r="J297" s="328"/>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row>
    <row r="298" spans="2:41" x14ac:dyDescent="0.25">
      <c r="B298" s="127"/>
      <c r="C298" s="127"/>
      <c r="D298" s="175"/>
      <c r="E298" s="127"/>
      <c r="F298" s="127"/>
      <c r="G298" s="127"/>
      <c r="H298" s="127"/>
      <c r="I298" s="127"/>
      <c r="J298" s="328"/>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row>
    <row r="299" spans="2:41" x14ac:dyDescent="0.25">
      <c r="B299" s="127"/>
      <c r="C299" s="127"/>
      <c r="D299" s="175"/>
      <c r="E299" s="127"/>
      <c r="F299" s="127"/>
      <c r="G299" s="127"/>
      <c r="H299" s="127"/>
      <c r="I299" s="127"/>
      <c r="J299" s="328"/>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row>
    <row r="300" spans="2:41" x14ac:dyDescent="0.25">
      <c r="B300" s="127"/>
      <c r="C300" s="127"/>
      <c r="D300" s="175"/>
      <c r="E300" s="127"/>
      <c r="F300" s="127"/>
      <c r="G300" s="127"/>
      <c r="H300" s="127"/>
      <c r="I300" s="127"/>
      <c r="J300" s="328"/>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row>
    <row r="301" spans="2:41" x14ac:dyDescent="0.25">
      <c r="B301" s="127"/>
      <c r="C301" s="127"/>
      <c r="D301" s="175"/>
      <c r="E301" s="127"/>
      <c r="F301" s="127"/>
      <c r="G301" s="127"/>
      <c r="H301" s="127"/>
      <c r="I301" s="127"/>
      <c r="J301" s="328"/>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row>
    <row r="302" spans="2:41" x14ac:dyDescent="0.25">
      <c r="B302" s="127"/>
      <c r="C302" s="127"/>
      <c r="D302" s="175"/>
      <c r="E302" s="127"/>
      <c r="F302" s="127"/>
      <c r="G302" s="127"/>
      <c r="H302" s="127"/>
      <c r="I302" s="127"/>
      <c r="J302" s="328"/>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row>
    <row r="303" spans="2:41" x14ac:dyDescent="0.25">
      <c r="B303" s="127"/>
      <c r="C303" s="127"/>
      <c r="D303" s="175"/>
      <c r="E303" s="127"/>
      <c r="F303" s="127"/>
      <c r="G303" s="127"/>
      <c r="H303" s="127"/>
      <c r="I303" s="127"/>
      <c r="J303" s="328"/>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row>
    <row r="304" spans="2:41" x14ac:dyDescent="0.25">
      <c r="B304" s="127"/>
      <c r="C304" s="127"/>
      <c r="D304" s="175"/>
      <c r="E304" s="127"/>
      <c r="F304" s="127"/>
      <c r="G304" s="127"/>
      <c r="H304" s="127"/>
      <c r="I304" s="127"/>
      <c r="J304" s="328"/>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row>
    <row r="305" spans="2:41" x14ac:dyDescent="0.25">
      <c r="B305" s="127"/>
      <c r="C305" s="127"/>
      <c r="D305" s="175"/>
      <c r="E305" s="127"/>
      <c r="F305" s="127"/>
      <c r="G305" s="127"/>
      <c r="H305" s="127"/>
      <c r="I305" s="127"/>
      <c r="J305" s="328"/>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row>
    <row r="306" spans="2:41" x14ac:dyDescent="0.25">
      <c r="B306" s="127"/>
      <c r="C306" s="127"/>
      <c r="D306" s="175"/>
      <c r="E306" s="127"/>
      <c r="F306" s="127"/>
      <c r="G306" s="127"/>
      <c r="H306" s="127"/>
      <c r="I306" s="127"/>
      <c r="J306" s="328"/>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row>
    <row r="307" spans="2:41" x14ac:dyDescent="0.25">
      <c r="B307" s="127"/>
      <c r="C307" s="127"/>
      <c r="D307" s="175"/>
      <c r="E307" s="127"/>
      <c r="F307" s="127"/>
      <c r="G307" s="127"/>
      <c r="H307" s="127"/>
      <c r="I307" s="127"/>
      <c r="J307" s="328"/>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row>
    <row r="308" spans="2:41" x14ac:dyDescent="0.25">
      <c r="B308" s="127"/>
      <c r="C308" s="127"/>
      <c r="D308" s="175"/>
      <c r="E308" s="127"/>
      <c r="F308" s="127"/>
      <c r="G308" s="127"/>
      <c r="H308" s="127"/>
      <c r="I308" s="127"/>
      <c r="J308" s="328"/>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row>
    <row r="309" spans="2:41" x14ac:dyDescent="0.25">
      <c r="B309" s="127"/>
      <c r="C309" s="127"/>
      <c r="D309" s="175"/>
      <c r="E309" s="127"/>
      <c r="F309" s="127"/>
      <c r="G309" s="127"/>
      <c r="H309" s="127"/>
      <c r="I309" s="127"/>
      <c r="J309" s="328"/>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row>
    <row r="310" spans="2:41" x14ac:dyDescent="0.25">
      <c r="B310" s="127"/>
      <c r="C310" s="127"/>
      <c r="D310" s="175"/>
      <c r="E310" s="127"/>
      <c r="F310" s="127"/>
      <c r="G310" s="127"/>
      <c r="H310" s="127"/>
      <c r="I310" s="127"/>
      <c r="J310" s="328"/>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row>
    <row r="311" spans="2:41" x14ac:dyDescent="0.25">
      <c r="B311" s="127"/>
      <c r="C311" s="127"/>
      <c r="D311" s="175"/>
      <c r="E311" s="127"/>
      <c r="F311" s="127"/>
      <c r="G311" s="127"/>
      <c r="H311" s="127"/>
      <c r="I311" s="127"/>
      <c r="J311" s="328"/>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row>
    <row r="312" spans="2:41" x14ac:dyDescent="0.25">
      <c r="B312" s="127"/>
      <c r="C312" s="127"/>
      <c r="D312" s="175"/>
      <c r="E312" s="127"/>
      <c r="F312" s="127"/>
      <c r="G312" s="127"/>
      <c r="H312" s="127"/>
      <c r="I312" s="127"/>
      <c r="J312" s="328"/>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row>
    <row r="313" spans="2:41" x14ac:dyDescent="0.25">
      <c r="B313" s="127"/>
      <c r="C313" s="127"/>
      <c r="D313" s="175"/>
      <c r="E313" s="127"/>
      <c r="F313" s="127"/>
      <c r="G313" s="127"/>
      <c r="H313" s="127"/>
      <c r="I313" s="127"/>
      <c r="J313" s="328"/>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row>
    <row r="314" spans="2:41" x14ac:dyDescent="0.25">
      <c r="B314" s="127"/>
      <c r="C314" s="127"/>
      <c r="D314" s="175"/>
      <c r="E314" s="127"/>
      <c r="F314" s="127"/>
      <c r="G314" s="127"/>
      <c r="H314" s="127"/>
      <c r="I314" s="127"/>
      <c r="J314" s="328"/>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row>
    <row r="315" spans="2:41" x14ac:dyDescent="0.25">
      <c r="B315" s="127"/>
      <c r="C315" s="127"/>
      <c r="D315" s="175"/>
      <c r="E315" s="127"/>
      <c r="F315" s="127"/>
      <c r="G315" s="127"/>
      <c r="H315" s="127"/>
      <c r="I315" s="127"/>
      <c r="J315" s="328"/>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row>
    <row r="316" spans="2:41" x14ac:dyDescent="0.25">
      <c r="B316" s="127"/>
      <c r="C316" s="127"/>
      <c r="D316" s="175"/>
      <c r="E316" s="127"/>
      <c r="F316" s="127"/>
      <c r="G316" s="127"/>
      <c r="H316" s="127"/>
      <c r="I316" s="127"/>
      <c r="J316" s="328"/>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row>
    <row r="317" spans="2:41" x14ac:dyDescent="0.25">
      <c r="B317" s="127"/>
      <c r="C317" s="127"/>
      <c r="D317" s="175"/>
      <c r="E317" s="127"/>
      <c r="F317" s="127"/>
      <c r="G317" s="127"/>
      <c r="H317" s="127"/>
      <c r="I317" s="127"/>
      <c r="J317" s="328"/>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row>
    <row r="318" spans="2:41" x14ac:dyDescent="0.25">
      <c r="B318" s="127"/>
      <c r="C318" s="127"/>
      <c r="D318" s="175"/>
      <c r="E318" s="127"/>
      <c r="F318" s="127"/>
      <c r="G318" s="127"/>
      <c r="H318" s="127"/>
      <c r="I318" s="127"/>
      <c r="J318" s="328"/>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row>
    <row r="319" spans="2:41" x14ac:dyDescent="0.25">
      <c r="B319" s="127"/>
      <c r="C319" s="127"/>
      <c r="D319" s="175"/>
      <c r="E319" s="127"/>
      <c r="F319" s="127"/>
      <c r="G319" s="127"/>
      <c r="H319" s="127"/>
      <c r="I319" s="127"/>
      <c r="J319" s="328"/>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row>
    <row r="320" spans="2:41" x14ac:dyDescent="0.25">
      <c r="B320" s="127"/>
      <c r="C320" s="127"/>
      <c r="D320" s="175"/>
      <c r="E320" s="127"/>
      <c r="F320" s="127"/>
      <c r="G320" s="127"/>
      <c r="H320" s="127"/>
      <c r="I320" s="127"/>
      <c r="J320" s="328"/>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row>
    <row r="321" spans="2:41" x14ac:dyDescent="0.25">
      <c r="B321" s="127"/>
      <c r="C321" s="127"/>
      <c r="D321" s="175"/>
      <c r="E321" s="127"/>
      <c r="F321" s="127"/>
      <c r="G321" s="127"/>
      <c r="H321" s="127"/>
      <c r="I321" s="127"/>
      <c r="J321" s="328"/>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row>
    <row r="322" spans="2:41" x14ac:dyDescent="0.25">
      <c r="B322" s="127"/>
      <c r="C322" s="127"/>
      <c r="D322" s="175"/>
      <c r="E322" s="127"/>
      <c r="F322" s="127"/>
      <c r="G322" s="127"/>
      <c r="H322" s="127"/>
      <c r="I322" s="127"/>
      <c r="J322" s="328"/>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row>
    <row r="323" spans="2:41" x14ac:dyDescent="0.25">
      <c r="B323" s="127"/>
      <c r="C323" s="127"/>
      <c r="D323" s="175"/>
      <c r="E323" s="127"/>
      <c r="F323" s="127"/>
      <c r="G323" s="127"/>
      <c r="H323" s="127"/>
      <c r="I323" s="127"/>
      <c r="J323" s="328"/>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row>
    <row r="324" spans="2:41" x14ac:dyDescent="0.25">
      <c r="B324" s="127"/>
      <c r="C324" s="127"/>
      <c r="D324" s="175"/>
      <c r="E324" s="127"/>
      <c r="F324" s="127"/>
      <c r="G324" s="127"/>
      <c r="H324" s="127"/>
      <c r="I324" s="127"/>
      <c r="J324" s="328"/>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row>
    <row r="325" spans="2:41" x14ac:dyDescent="0.25">
      <c r="B325" s="127"/>
      <c r="C325" s="127"/>
      <c r="D325" s="175"/>
      <c r="E325" s="127"/>
      <c r="F325" s="127"/>
      <c r="G325" s="127"/>
      <c r="H325" s="127"/>
      <c r="I325" s="127"/>
      <c r="J325" s="328"/>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row>
    <row r="326" spans="2:41" x14ac:dyDescent="0.25">
      <c r="B326" s="127"/>
      <c r="C326" s="127"/>
      <c r="D326" s="175"/>
      <c r="E326" s="127"/>
      <c r="F326" s="127"/>
      <c r="G326" s="127"/>
      <c r="H326" s="127"/>
      <c r="I326" s="127"/>
      <c r="J326" s="328"/>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row>
    <row r="327" spans="2:41" x14ac:dyDescent="0.25">
      <c r="B327" s="127"/>
      <c r="C327" s="127"/>
      <c r="D327" s="175"/>
      <c r="E327" s="127"/>
      <c r="F327" s="127"/>
      <c r="G327" s="127"/>
      <c r="H327" s="127"/>
      <c r="I327" s="127"/>
      <c r="J327" s="328"/>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row>
    <row r="328" spans="2:41" x14ac:dyDescent="0.25">
      <c r="B328" s="127"/>
      <c r="C328" s="127"/>
      <c r="D328" s="175"/>
      <c r="E328" s="127"/>
      <c r="F328" s="127"/>
      <c r="G328" s="127"/>
      <c r="H328" s="127"/>
      <c r="I328" s="127"/>
      <c r="J328" s="328"/>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row>
    <row r="329" spans="2:41" x14ac:dyDescent="0.25">
      <c r="B329" s="127"/>
      <c r="C329" s="127"/>
      <c r="D329" s="175"/>
      <c r="E329" s="127"/>
      <c r="F329" s="127"/>
      <c r="G329" s="127"/>
      <c r="H329" s="127"/>
      <c r="I329" s="127"/>
      <c r="J329" s="328"/>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row>
    <row r="330" spans="2:41" x14ac:dyDescent="0.25">
      <c r="B330" s="127"/>
      <c r="C330" s="127"/>
      <c r="D330" s="175"/>
      <c r="E330" s="127"/>
      <c r="F330" s="127"/>
      <c r="G330" s="127"/>
      <c r="H330" s="127"/>
      <c r="I330" s="127"/>
      <c r="J330" s="328"/>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row>
    <row r="331" spans="2:41" x14ac:dyDescent="0.25">
      <c r="B331" s="127"/>
      <c r="C331" s="127"/>
      <c r="D331" s="175"/>
      <c r="E331" s="127"/>
      <c r="F331" s="127"/>
      <c r="G331" s="127"/>
      <c r="H331" s="127"/>
      <c r="I331" s="127"/>
      <c r="J331" s="328"/>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row>
    <row r="332" spans="2:41" x14ac:dyDescent="0.25">
      <c r="B332" s="127"/>
      <c r="C332" s="127"/>
      <c r="D332" s="175"/>
      <c r="E332" s="127"/>
      <c r="F332" s="127"/>
      <c r="G332" s="127"/>
      <c r="H332" s="127"/>
      <c r="I332" s="127"/>
      <c r="J332" s="328"/>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row>
    <row r="333" spans="2:41" x14ac:dyDescent="0.25">
      <c r="B333" s="127"/>
      <c r="C333" s="127"/>
      <c r="D333" s="175"/>
      <c r="E333" s="127"/>
      <c r="F333" s="127"/>
      <c r="G333" s="127"/>
      <c r="H333" s="127"/>
      <c r="I333" s="127"/>
      <c r="J333" s="328"/>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row>
    <row r="334" spans="2:41" x14ac:dyDescent="0.25">
      <c r="B334" s="127"/>
      <c r="C334" s="127"/>
      <c r="D334" s="175"/>
      <c r="E334" s="127"/>
      <c r="F334" s="127"/>
      <c r="G334" s="127"/>
      <c r="H334" s="127"/>
      <c r="I334" s="127"/>
      <c r="J334" s="328"/>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row>
    <row r="335" spans="2:41" x14ac:dyDescent="0.25">
      <c r="B335" s="127"/>
      <c r="C335" s="127"/>
      <c r="D335" s="175"/>
      <c r="E335" s="127"/>
      <c r="F335" s="127"/>
      <c r="G335" s="127"/>
      <c r="H335" s="127"/>
      <c r="I335" s="127"/>
      <c r="J335" s="328"/>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row>
    <row r="336" spans="2:41" x14ac:dyDescent="0.25">
      <c r="B336" s="127"/>
      <c r="C336" s="127"/>
      <c r="D336" s="175"/>
      <c r="E336" s="127"/>
      <c r="F336" s="127"/>
      <c r="G336" s="127"/>
      <c r="H336" s="127"/>
      <c r="I336" s="127"/>
      <c r="J336" s="328"/>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row>
    <row r="337" spans="2:41" x14ac:dyDescent="0.25">
      <c r="B337" s="127"/>
      <c r="C337" s="127"/>
      <c r="D337" s="175"/>
      <c r="E337" s="127"/>
      <c r="F337" s="127"/>
      <c r="G337" s="127"/>
      <c r="H337" s="127"/>
      <c r="I337" s="127"/>
      <c r="J337" s="328"/>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row>
    <row r="338" spans="2:41" x14ac:dyDescent="0.25">
      <c r="B338" s="127"/>
      <c r="C338" s="127"/>
      <c r="D338" s="175"/>
      <c r="E338" s="127"/>
      <c r="F338" s="127"/>
      <c r="G338" s="127"/>
      <c r="H338" s="127"/>
      <c r="I338" s="127"/>
      <c r="J338" s="328"/>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row>
    <row r="339" spans="2:41" x14ac:dyDescent="0.25">
      <c r="B339" s="127"/>
      <c r="C339" s="127"/>
      <c r="D339" s="175"/>
      <c r="E339" s="127"/>
      <c r="F339" s="127"/>
      <c r="G339" s="127"/>
      <c r="H339" s="127"/>
      <c r="I339" s="127"/>
      <c r="J339" s="328"/>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row>
    <row r="340" spans="2:41" x14ac:dyDescent="0.25">
      <c r="B340" s="127"/>
      <c r="C340" s="127"/>
      <c r="D340" s="175"/>
      <c r="E340" s="127"/>
      <c r="F340" s="127"/>
      <c r="G340" s="127"/>
      <c r="H340" s="127"/>
      <c r="I340" s="127"/>
      <c r="J340" s="328"/>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row>
    <row r="341" spans="2:41" x14ac:dyDescent="0.25">
      <c r="B341" s="127"/>
      <c r="C341" s="127"/>
      <c r="D341" s="175"/>
      <c r="E341" s="127"/>
      <c r="F341" s="127"/>
      <c r="G341" s="127"/>
      <c r="H341" s="127"/>
      <c r="I341" s="127"/>
      <c r="J341" s="328"/>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row>
    <row r="342" spans="2:41" x14ac:dyDescent="0.25">
      <c r="B342" s="127"/>
      <c r="C342" s="127"/>
      <c r="D342" s="175"/>
      <c r="E342" s="127"/>
      <c r="F342" s="127"/>
      <c r="G342" s="127"/>
      <c r="H342" s="127"/>
      <c r="I342" s="127"/>
      <c r="J342" s="328"/>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row>
    <row r="343" spans="2:41" x14ac:dyDescent="0.25">
      <c r="B343" s="127"/>
      <c r="C343" s="127"/>
      <c r="D343" s="175"/>
      <c r="E343" s="127"/>
      <c r="F343" s="127"/>
      <c r="G343" s="127"/>
      <c r="H343" s="127"/>
      <c r="I343" s="127"/>
      <c r="J343" s="328"/>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row>
    <row r="344" spans="2:41" x14ac:dyDescent="0.25">
      <c r="B344" s="127"/>
      <c r="C344" s="127"/>
      <c r="D344" s="175"/>
      <c r="E344" s="127"/>
      <c r="F344" s="127"/>
      <c r="G344" s="127"/>
      <c r="H344" s="127"/>
      <c r="I344" s="127"/>
      <c r="J344" s="328"/>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row>
    <row r="345" spans="2:41" x14ac:dyDescent="0.25">
      <c r="B345" s="127"/>
      <c r="C345" s="127"/>
      <c r="D345" s="175"/>
      <c r="E345" s="127"/>
      <c r="F345" s="127"/>
      <c r="G345" s="127"/>
      <c r="H345" s="127"/>
      <c r="I345" s="127"/>
      <c r="J345" s="328"/>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row>
    <row r="346" spans="2:41" x14ac:dyDescent="0.25">
      <c r="B346" s="127"/>
      <c r="C346" s="127"/>
      <c r="D346" s="175"/>
      <c r="E346" s="127"/>
      <c r="F346" s="127"/>
      <c r="G346" s="127"/>
      <c r="H346" s="127"/>
      <c r="I346" s="127"/>
      <c r="J346" s="328"/>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row>
    <row r="347" spans="2:41" x14ac:dyDescent="0.25">
      <c r="B347" s="127"/>
      <c r="C347" s="127"/>
      <c r="D347" s="175"/>
      <c r="E347" s="127"/>
      <c r="F347" s="127"/>
      <c r="G347" s="127"/>
      <c r="H347" s="127"/>
      <c r="I347" s="127"/>
      <c r="J347" s="328"/>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row>
    <row r="348" spans="2:41" x14ac:dyDescent="0.25">
      <c r="B348" s="127"/>
      <c r="C348" s="127"/>
      <c r="D348" s="175"/>
      <c r="E348" s="127"/>
      <c r="F348" s="127"/>
      <c r="G348" s="127"/>
      <c r="H348" s="127"/>
      <c r="I348" s="127"/>
      <c r="J348" s="328"/>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row>
    <row r="349" spans="2:41" x14ac:dyDescent="0.25">
      <c r="B349" s="127"/>
      <c r="C349" s="127"/>
      <c r="D349" s="175"/>
      <c r="E349" s="127"/>
      <c r="F349" s="127"/>
      <c r="G349" s="127"/>
      <c r="H349" s="127"/>
      <c r="I349" s="127"/>
      <c r="J349" s="328"/>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row>
    <row r="350" spans="2:41" x14ac:dyDescent="0.25">
      <c r="B350" s="127"/>
      <c r="C350" s="127"/>
      <c r="D350" s="175"/>
      <c r="E350" s="127"/>
      <c r="F350" s="127"/>
      <c r="G350" s="127"/>
      <c r="H350" s="127"/>
      <c r="I350" s="127"/>
      <c r="J350" s="328"/>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row>
    <row r="351" spans="2:41" x14ac:dyDescent="0.25">
      <c r="B351" s="127"/>
      <c r="C351" s="127"/>
      <c r="D351" s="175"/>
      <c r="E351" s="127"/>
      <c r="F351" s="127"/>
      <c r="G351" s="127"/>
      <c r="H351" s="127"/>
      <c r="I351" s="127"/>
      <c r="J351" s="328"/>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row>
    <row r="352" spans="2:41" x14ac:dyDescent="0.25">
      <c r="B352" s="127"/>
      <c r="C352" s="127"/>
      <c r="D352" s="175"/>
      <c r="E352" s="127"/>
      <c r="F352" s="127"/>
      <c r="G352" s="127"/>
      <c r="H352" s="127"/>
      <c r="I352" s="127"/>
      <c r="J352" s="328"/>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row>
    <row r="353" spans="2:41" x14ac:dyDescent="0.25">
      <c r="B353" s="127"/>
      <c r="C353" s="127"/>
      <c r="D353" s="175"/>
      <c r="E353" s="127"/>
      <c r="F353" s="127"/>
      <c r="G353" s="127"/>
      <c r="H353" s="127"/>
      <c r="I353" s="127"/>
      <c r="J353" s="328"/>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row>
    <row r="354" spans="2:41" x14ac:dyDescent="0.25">
      <c r="B354" s="127"/>
      <c r="C354" s="127"/>
      <c r="D354" s="175"/>
      <c r="E354" s="127"/>
      <c r="F354" s="127"/>
      <c r="G354" s="127"/>
      <c r="H354" s="127"/>
      <c r="I354" s="127"/>
      <c r="J354" s="328"/>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row>
    <row r="355" spans="2:41" x14ac:dyDescent="0.25">
      <c r="B355" s="127"/>
      <c r="C355" s="127"/>
      <c r="D355" s="175"/>
      <c r="E355" s="127"/>
      <c r="F355" s="127"/>
      <c r="G355" s="127"/>
      <c r="H355" s="127"/>
      <c r="I355" s="127"/>
      <c r="J355" s="328"/>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row>
    <row r="356" spans="2:41" x14ac:dyDescent="0.25">
      <c r="B356" s="127"/>
      <c r="C356" s="127"/>
      <c r="D356" s="175"/>
      <c r="E356" s="127"/>
      <c r="F356" s="127"/>
      <c r="G356" s="127"/>
      <c r="H356" s="127"/>
      <c r="I356" s="127"/>
      <c r="J356" s="328"/>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row>
    <row r="357" spans="2:41" x14ac:dyDescent="0.25">
      <c r="B357" s="127"/>
      <c r="C357" s="127"/>
      <c r="D357" s="175"/>
      <c r="E357" s="127"/>
      <c r="F357" s="127"/>
      <c r="G357" s="127"/>
      <c r="H357" s="127"/>
      <c r="I357" s="127"/>
      <c r="J357" s="328"/>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row>
    <row r="358" spans="2:41" x14ac:dyDescent="0.25">
      <c r="B358" s="127"/>
      <c r="C358" s="127"/>
      <c r="D358" s="175"/>
      <c r="E358" s="127"/>
      <c r="F358" s="127"/>
      <c r="G358" s="127"/>
      <c r="H358" s="127"/>
      <c r="I358" s="127"/>
      <c r="J358" s="328"/>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row>
    <row r="359" spans="2:41" x14ac:dyDescent="0.25">
      <c r="B359" s="127"/>
      <c r="C359" s="127"/>
      <c r="D359" s="175"/>
      <c r="E359" s="127"/>
      <c r="F359" s="127"/>
      <c r="G359" s="127"/>
      <c r="H359" s="127"/>
      <c r="I359" s="127"/>
      <c r="J359" s="328"/>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row>
    <row r="360" spans="2:41" x14ac:dyDescent="0.25">
      <c r="B360" s="127"/>
      <c r="C360" s="127"/>
      <c r="D360" s="175"/>
      <c r="E360" s="127"/>
      <c r="F360" s="127"/>
      <c r="G360" s="127"/>
      <c r="H360" s="127"/>
      <c r="I360" s="127"/>
      <c r="J360" s="328"/>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row>
    <row r="361" spans="2:41" x14ac:dyDescent="0.25">
      <c r="B361" s="127"/>
      <c r="C361" s="127"/>
      <c r="D361" s="175"/>
      <c r="E361" s="127"/>
      <c r="F361" s="127"/>
      <c r="G361" s="127"/>
      <c r="H361" s="127"/>
      <c r="I361" s="127"/>
      <c r="J361" s="328"/>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row>
    <row r="362" spans="2:41" x14ac:dyDescent="0.25">
      <c r="B362" s="127"/>
      <c r="C362" s="127"/>
      <c r="D362" s="175"/>
      <c r="E362" s="127"/>
      <c r="F362" s="127"/>
      <c r="G362" s="127"/>
      <c r="H362" s="127"/>
      <c r="I362" s="127"/>
      <c r="J362" s="328"/>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row>
    <row r="363" spans="2:41" x14ac:dyDescent="0.25">
      <c r="B363" s="127"/>
      <c r="C363" s="127"/>
      <c r="D363" s="175"/>
      <c r="E363" s="127"/>
      <c r="F363" s="127"/>
      <c r="G363" s="127"/>
      <c r="H363" s="127"/>
      <c r="I363" s="127"/>
      <c r="J363" s="328"/>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row>
    <row r="364" spans="2:41" x14ac:dyDescent="0.25">
      <c r="B364" s="127"/>
      <c r="C364" s="127"/>
      <c r="D364" s="175"/>
      <c r="E364" s="127"/>
      <c r="F364" s="127"/>
      <c r="G364" s="127"/>
      <c r="H364" s="127"/>
      <c r="I364" s="127"/>
      <c r="J364" s="328"/>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row>
    <row r="365" spans="2:41" x14ac:dyDescent="0.25">
      <c r="B365" s="127"/>
      <c r="C365" s="127"/>
      <c r="D365" s="175"/>
      <c r="E365" s="127"/>
      <c r="F365" s="127"/>
      <c r="G365" s="127"/>
      <c r="H365" s="127"/>
      <c r="I365" s="127"/>
      <c r="J365" s="328"/>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row>
    <row r="366" spans="2:41" x14ac:dyDescent="0.25">
      <c r="B366" s="127"/>
      <c r="C366" s="127"/>
      <c r="D366" s="175"/>
      <c r="E366" s="127"/>
      <c r="F366" s="127"/>
      <c r="G366" s="127"/>
      <c r="H366" s="127"/>
      <c r="I366" s="127"/>
      <c r="J366" s="328"/>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row>
    <row r="367" spans="2:41" x14ac:dyDescent="0.25">
      <c r="B367" s="127"/>
      <c r="C367" s="127"/>
      <c r="D367" s="175"/>
      <c r="E367" s="127"/>
      <c r="F367" s="127"/>
      <c r="G367" s="127"/>
      <c r="H367" s="127"/>
      <c r="I367" s="127"/>
      <c r="J367" s="328"/>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row>
    <row r="368" spans="2:41" x14ac:dyDescent="0.25">
      <c r="B368" s="127"/>
      <c r="C368" s="127"/>
      <c r="D368" s="175"/>
      <c r="E368" s="127"/>
      <c r="F368" s="127"/>
      <c r="G368" s="127"/>
      <c r="H368" s="127"/>
      <c r="I368" s="127"/>
      <c r="J368" s="328"/>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row>
    <row r="369" spans="2:41" x14ac:dyDescent="0.25">
      <c r="B369" s="127"/>
      <c r="C369" s="127"/>
      <c r="D369" s="175"/>
      <c r="E369" s="127"/>
      <c r="F369" s="127"/>
      <c r="G369" s="127"/>
      <c r="H369" s="127"/>
      <c r="I369" s="127"/>
      <c r="J369" s="328"/>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row>
    <row r="370" spans="2:41" x14ac:dyDescent="0.25">
      <c r="B370" s="127"/>
      <c r="C370" s="127"/>
      <c r="D370" s="175"/>
      <c r="E370" s="127"/>
      <c r="F370" s="127"/>
      <c r="G370" s="127"/>
      <c r="H370" s="127"/>
      <c r="I370" s="127"/>
      <c r="J370" s="328"/>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row>
    <row r="371" spans="2:41" x14ac:dyDescent="0.25">
      <c r="B371" s="127"/>
      <c r="C371" s="127"/>
      <c r="D371" s="175"/>
      <c r="E371" s="127"/>
      <c r="F371" s="127"/>
      <c r="G371" s="127"/>
      <c r="H371" s="127"/>
      <c r="I371" s="127"/>
      <c r="J371" s="328"/>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row>
    <row r="372" spans="2:41" x14ac:dyDescent="0.25">
      <c r="B372" s="127"/>
      <c r="C372" s="127"/>
      <c r="D372" s="175"/>
      <c r="E372" s="127"/>
      <c r="F372" s="127"/>
      <c r="G372" s="127"/>
      <c r="H372" s="127"/>
      <c r="I372" s="127"/>
      <c r="J372" s="328"/>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row>
    <row r="373" spans="2:41" x14ac:dyDescent="0.25">
      <c r="B373" s="127"/>
      <c r="C373" s="127"/>
      <c r="D373" s="175"/>
      <c r="E373" s="127"/>
      <c r="F373" s="127"/>
      <c r="G373" s="127"/>
      <c r="H373" s="127"/>
      <c r="I373" s="127"/>
      <c r="J373" s="328"/>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row>
    <row r="374" spans="2:41" x14ac:dyDescent="0.25">
      <c r="B374" s="127"/>
      <c r="C374" s="127"/>
      <c r="D374" s="175"/>
      <c r="E374" s="127"/>
      <c r="F374" s="127"/>
      <c r="G374" s="127"/>
      <c r="H374" s="127"/>
      <c r="I374" s="127"/>
      <c r="J374" s="328"/>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row>
    <row r="375" spans="2:41" x14ac:dyDescent="0.25">
      <c r="B375" s="127"/>
      <c r="C375" s="127"/>
      <c r="D375" s="175"/>
      <c r="E375" s="127"/>
      <c r="F375" s="127"/>
      <c r="G375" s="127"/>
      <c r="H375" s="127"/>
      <c r="I375" s="127"/>
      <c r="J375" s="328"/>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row>
    <row r="376" spans="2:41" x14ac:dyDescent="0.25">
      <c r="B376" s="127"/>
      <c r="C376" s="127"/>
      <c r="D376" s="175"/>
      <c r="E376" s="127"/>
      <c r="F376" s="127"/>
      <c r="G376" s="127"/>
      <c r="H376" s="127"/>
      <c r="I376" s="127"/>
      <c r="J376" s="328"/>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row>
    <row r="377" spans="2:41" x14ac:dyDescent="0.25">
      <c r="B377" s="127"/>
      <c r="C377" s="127"/>
      <c r="D377" s="175"/>
      <c r="E377" s="127"/>
      <c r="F377" s="127"/>
      <c r="G377" s="127"/>
      <c r="H377" s="127"/>
      <c r="I377" s="127"/>
      <c r="J377" s="328"/>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row>
    <row r="378" spans="2:41" x14ac:dyDescent="0.25">
      <c r="B378" s="127"/>
      <c r="C378" s="127"/>
      <c r="D378" s="175"/>
      <c r="E378" s="127"/>
      <c r="F378" s="127"/>
      <c r="G378" s="127"/>
      <c r="H378" s="127"/>
      <c r="I378" s="127"/>
      <c r="J378" s="328"/>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row>
    <row r="379" spans="2:41" x14ac:dyDescent="0.25">
      <c r="B379" s="127"/>
      <c r="C379" s="127"/>
      <c r="D379" s="175"/>
      <c r="E379" s="127"/>
      <c r="F379" s="127"/>
      <c r="G379" s="127"/>
      <c r="H379" s="127"/>
      <c r="I379" s="127"/>
      <c r="J379" s="328"/>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row>
    <row r="380" spans="2:41" x14ac:dyDescent="0.25">
      <c r="B380" s="127"/>
      <c r="C380" s="127"/>
      <c r="D380" s="175"/>
      <c r="E380" s="127"/>
      <c r="F380" s="127"/>
      <c r="G380" s="127"/>
      <c r="H380" s="127"/>
      <c r="I380" s="127"/>
      <c r="J380" s="328"/>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row>
    <row r="381" spans="2:41" x14ac:dyDescent="0.25">
      <c r="B381" s="127"/>
      <c r="C381" s="127"/>
      <c r="D381" s="175"/>
      <c r="E381" s="127"/>
      <c r="F381" s="127"/>
      <c r="G381" s="127"/>
      <c r="H381" s="127"/>
      <c r="I381" s="127"/>
      <c r="J381" s="328"/>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row>
    <row r="382" spans="2:41" x14ac:dyDescent="0.25">
      <c r="B382" s="127"/>
      <c r="C382" s="127"/>
      <c r="D382" s="175"/>
      <c r="E382" s="127"/>
      <c r="F382" s="127"/>
      <c r="G382" s="127"/>
      <c r="H382" s="127"/>
      <c r="I382" s="127"/>
      <c r="J382" s="328"/>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row>
    <row r="383" spans="2:41" x14ac:dyDescent="0.25">
      <c r="B383" s="127"/>
      <c r="C383" s="127"/>
      <c r="D383" s="175"/>
      <c r="E383" s="127"/>
      <c r="F383" s="127"/>
      <c r="G383" s="127"/>
      <c r="H383" s="127"/>
      <c r="I383" s="127"/>
      <c r="J383" s="328"/>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row>
    <row r="384" spans="2:41" x14ac:dyDescent="0.25">
      <c r="B384" s="127"/>
      <c r="C384" s="127"/>
      <c r="D384" s="175"/>
      <c r="E384" s="127"/>
      <c r="F384" s="127"/>
      <c r="G384" s="127"/>
      <c r="H384" s="127"/>
      <c r="I384" s="127"/>
      <c r="J384" s="328"/>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row>
    <row r="385" spans="2:41" x14ac:dyDescent="0.25">
      <c r="B385" s="127"/>
      <c r="C385" s="127"/>
      <c r="D385" s="175"/>
      <c r="E385" s="127"/>
      <c r="F385" s="127"/>
      <c r="G385" s="127"/>
      <c r="H385" s="127"/>
      <c r="I385" s="127"/>
      <c r="J385" s="328"/>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row>
    <row r="386" spans="2:41" x14ac:dyDescent="0.25">
      <c r="B386" s="127"/>
      <c r="C386" s="127"/>
      <c r="D386" s="175"/>
      <c r="E386" s="127"/>
      <c r="F386" s="127"/>
      <c r="G386" s="127"/>
      <c r="H386" s="127"/>
      <c r="I386" s="127"/>
      <c r="J386" s="328"/>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row>
    <row r="387" spans="2:41" x14ac:dyDescent="0.25">
      <c r="B387" s="127"/>
      <c r="C387" s="127"/>
      <c r="D387" s="175"/>
      <c r="E387" s="127"/>
      <c r="F387" s="127"/>
      <c r="G387" s="127"/>
      <c r="H387" s="127"/>
      <c r="I387" s="127"/>
      <c r="J387" s="328"/>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row>
    <row r="388" spans="2:41" x14ac:dyDescent="0.25">
      <c r="B388" s="127"/>
      <c r="C388" s="127"/>
      <c r="D388" s="175"/>
      <c r="E388" s="127"/>
      <c r="F388" s="127"/>
      <c r="G388" s="127"/>
      <c r="H388" s="127"/>
      <c r="I388" s="127"/>
      <c r="J388" s="328"/>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row>
    <row r="389" spans="2:41" x14ac:dyDescent="0.25">
      <c r="B389" s="127"/>
      <c r="C389" s="127"/>
      <c r="D389" s="175"/>
      <c r="E389" s="127"/>
      <c r="F389" s="127"/>
      <c r="G389" s="127"/>
      <c r="H389" s="127"/>
      <c r="I389" s="127"/>
      <c r="J389" s="328"/>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row>
    <row r="390" spans="2:41" x14ac:dyDescent="0.25">
      <c r="B390" s="127"/>
      <c r="C390" s="127"/>
      <c r="D390" s="175"/>
      <c r="E390" s="127"/>
      <c r="F390" s="127"/>
      <c r="G390" s="127"/>
      <c r="H390" s="127"/>
      <c r="I390" s="127"/>
      <c r="J390" s="328"/>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row>
    <row r="391" spans="2:41" x14ac:dyDescent="0.25">
      <c r="B391" s="127"/>
      <c r="C391" s="127"/>
      <c r="D391" s="175"/>
      <c r="E391" s="127"/>
      <c r="F391" s="127"/>
      <c r="G391" s="127"/>
      <c r="H391" s="127"/>
      <c r="I391" s="127"/>
      <c r="J391" s="328"/>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row>
    <row r="392" spans="2:41" x14ac:dyDescent="0.25">
      <c r="B392" s="127"/>
      <c r="C392" s="127"/>
      <c r="D392" s="175"/>
      <c r="E392" s="127"/>
      <c r="F392" s="127"/>
      <c r="G392" s="127"/>
      <c r="H392" s="127"/>
      <c r="I392" s="127"/>
      <c r="J392" s="328"/>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row>
    <row r="393" spans="2:41" x14ac:dyDescent="0.25">
      <c r="B393" s="127"/>
      <c r="C393" s="127"/>
      <c r="D393" s="175"/>
      <c r="E393" s="127"/>
      <c r="F393" s="127"/>
      <c r="G393" s="127"/>
      <c r="H393" s="127"/>
      <c r="I393" s="127"/>
      <c r="J393" s="328"/>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row>
    <row r="394" spans="2:41" x14ac:dyDescent="0.25">
      <c r="B394" s="127"/>
      <c r="C394" s="127"/>
      <c r="D394" s="175"/>
      <c r="E394" s="127"/>
      <c r="F394" s="127"/>
      <c r="G394" s="127"/>
      <c r="H394" s="127"/>
      <c r="I394" s="127"/>
      <c r="J394" s="328"/>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row>
    <row r="395" spans="2:41" x14ac:dyDescent="0.25">
      <c r="B395" s="127"/>
      <c r="C395" s="127"/>
      <c r="D395" s="175"/>
      <c r="E395" s="127"/>
      <c r="F395" s="127"/>
      <c r="G395" s="127"/>
      <c r="H395" s="127"/>
      <c r="I395" s="127"/>
      <c r="J395" s="328"/>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row>
    <row r="396" spans="2:41" x14ac:dyDescent="0.25">
      <c r="B396" s="127"/>
      <c r="C396" s="127"/>
      <c r="D396" s="175"/>
      <c r="E396" s="127"/>
      <c r="F396" s="127"/>
      <c r="G396" s="127"/>
      <c r="H396" s="127"/>
      <c r="I396" s="127"/>
      <c r="J396" s="328"/>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row>
    <row r="397" spans="2:41" x14ac:dyDescent="0.25">
      <c r="B397" s="127"/>
      <c r="C397" s="127"/>
      <c r="D397" s="175"/>
      <c r="E397" s="127"/>
      <c r="F397" s="127"/>
      <c r="G397" s="127"/>
      <c r="H397" s="127"/>
      <c r="I397" s="127"/>
      <c r="J397" s="328"/>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row>
    <row r="398" spans="2:41" x14ac:dyDescent="0.25">
      <c r="B398" s="127"/>
      <c r="C398" s="127"/>
      <c r="D398" s="175"/>
      <c r="E398" s="127"/>
      <c r="F398" s="127"/>
      <c r="G398" s="127"/>
      <c r="H398" s="127"/>
      <c r="I398" s="127"/>
      <c r="J398" s="328"/>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row>
    <row r="399" spans="2:41" x14ac:dyDescent="0.25">
      <c r="B399" s="127"/>
      <c r="C399" s="127"/>
      <c r="D399" s="175"/>
      <c r="E399" s="127"/>
      <c r="F399" s="127"/>
      <c r="G399" s="127"/>
      <c r="H399" s="127"/>
      <c r="I399" s="127"/>
      <c r="J399" s="328"/>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row>
    <row r="400" spans="2:41" x14ac:dyDescent="0.25">
      <c r="B400" s="127"/>
      <c r="C400" s="127"/>
      <c r="D400" s="175"/>
      <c r="E400" s="127"/>
      <c r="F400" s="127"/>
      <c r="G400" s="127"/>
      <c r="H400" s="127"/>
      <c r="I400" s="127"/>
      <c r="J400" s="328"/>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row>
    <row r="401" spans="2:41" x14ac:dyDescent="0.25">
      <c r="B401" s="127"/>
      <c r="C401" s="127"/>
      <c r="D401" s="175"/>
      <c r="E401" s="127"/>
      <c r="F401" s="127"/>
      <c r="G401" s="127"/>
      <c r="H401" s="127"/>
      <c r="I401" s="127"/>
      <c r="J401" s="328"/>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row>
    <row r="402" spans="2:41" x14ac:dyDescent="0.25">
      <c r="B402" s="127"/>
      <c r="C402" s="127"/>
      <c r="D402" s="175"/>
      <c r="E402" s="127"/>
      <c r="F402" s="127"/>
      <c r="G402" s="127"/>
      <c r="H402" s="127"/>
      <c r="I402" s="127"/>
      <c r="J402" s="328"/>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row>
    <row r="403" spans="2:41" x14ac:dyDescent="0.25">
      <c r="B403" s="127"/>
      <c r="C403" s="127"/>
      <c r="D403" s="175"/>
      <c r="E403" s="127"/>
      <c r="F403" s="127"/>
      <c r="G403" s="127"/>
      <c r="H403" s="127"/>
      <c r="I403" s="127"/>
      <c r="J403" s="328"/>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row>
    <row r="404" spans="2:41" x14ac:dyDescent="0.25">
      <c r="B404" s="127"/>
      <c r="C404" s="127"/>
      <c r="D404" s="175"/>
      <c r="E404" s="127"/>
      <c r="F404" s="127"/>
      <c r="G404" s="127"/>
      <c r="H404" s="127"/>
      <c r="I404" s="127"/>
      <c r="J404" s="328"/>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row>
    <row r="405" spans="2:41" x14ac:dyDescent="0.25">
      <c r="B405" s="127"/>
      <c r="C405" s="127"/>
      <c r="D405" s="175"/>
      <c r="E405" s="127"/>
      <c r="F405" s="127"/>
      <c r="G405" s="127"/>
      <c r="H405" s="127"/>
      <c r="I405" s="127"/>
      <c r="J405" s="328"/>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row>
    <row r="406" spans="2:41" x14ac:dyDescent="0.25">
      <c r="B406" s="127"/>
      <c r="C406" s="127"/>
      <c r="D406" s="175"/>
      <c r="E406" s="127"/>
      <c r="F406" s="127"/>
      <c r="G406" s="127"/>
      <c r="H406" s="127"/>
      <c r="I406" s="127"/>
      <c r="J406" s="328"/>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row>
    <row r="407" spans="2:41" x14ac:dyDescent="0.25">
      <c r="B407" s="127"/>
      <c r="C407" s="127"/>
      <c r="D407" s="175"/>
      <c r="E407" s="127"/>
      <c r="F407" s="127"/>
      <c r="G407" s="127"/>
      <c r="H407" s="127"/>
      <c r="I407" s="127"/>
      <c r="J407" s="328"/>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row>
    <row r="408" spans="2:41" x14ac:dyDescent="0.25">
      <c r="B408" s="127"/>
      <c r="C408" s="127"/>
      <c r="D408" s="175"/>
      <c r="E408" s="127"/>
      <c r="F408" s="127"/>
      <c r="G408" s="127"/>
      <c r="H408" s="127"/>
      <c r="I408" s="127"/>
      <c r="J408" s="328"/>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row>
    <row r="409" spans="2:41" x14ac:dyDescent="0.25">
      <c r="B409" s="127"/>
      <c r="C409" s="127"/>
      <c r="D409" s="175"/>
      <c r="E409" s="127"/>
      <c r="F409" s="127"/>
      <c r="G409" s="127"/>
      <c r="H409" s="127"/>
      <c r="I409" s="127"/>
      <c r="J409" s="328"/>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row>
    <row r="410" spans="2:41" x14ac:dyDescent="0.25">
      <c r="B410" s="127"/>
      <c r="C410" s="127"/>
      <c r="D410" s="175"/>
      <c r="E410" s="127"/>
      <c r="F410" s="127"/>
      <c r="G410" s="127"/>
      <c r="H410" s="127"/>
      <c r="I410" s="127"/>
      <c r="J410" s="328"/>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row>
    <row r="411" spans="2:41" x14ac:dyDescent="0.25">
      <c r="B411" s="127"/>
      <c r="C411" s="127"/>
      <c r="D411" s="175"/>
      <c r="E411" s="127"/>
      <c r="F411" s="127"/>
      <c r="G411" s="127"/>
      <c r="H411" s="127"/>
      <c r="I411" s="127"/>
      <c r="J411" s="328"/>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row>
    <row r="412" spans="2:41" x14ac:dyDescent="0.25">
      <c r="B412" s="127"/>
      <c r="C412" s="127"/>
      <c r="D412" s="175"/>
      <c r="E412" s="127"/>
      <c r="F412" s="127"/>
      <c r="G412" s="127"/>
      <c r="H412" s="127"/>
      <c r="I412" s="127"/>
      <c r="J412" s="328"/>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row>
    <row r="413" spans="2:41" x14ac:dyDescent="0.25">
      <c r="B413" s="127"/>
      <c r="C413" s="127"/>
      <c r="D413" s="175"/>
      <c r="E413" s="127"/>
      <c r="F413" s="127"/>
      <c r="G413" s="127"/>
      <c r="H413" s="127"/>
      <c r="I413" s="127"/>
      <c r="J413" s="328"/>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row>
    <row r="414" spans="2:41" x14ac:dyDescent="0.25">
      <c r="B414" s="127"/>
      <c r="C414" s="127"/>
      <c r="D414" s="175"/>
      <c r="E414" s="127"/>
      <c r="F414" s="127"/>
      <c r="G414" s="127"/>
      <c r="H414" s="127"/>
      <c r="I414" s="127"/>
      <c r="J414" s="328"/>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row>
    <row r="415" spans="2:41" x14ac:dyDescent="0.25">
      <c r="B415" s="127"/>
      <c r="C415" s="127"/>
      <c r="D415" s="175"/>
      <c r="E415" s="127"/>
      <c r="F415" s="127"/>
      <c r="G415" s="127"/>
      <c r="H415" s="127"/>
      <c r="I415" s="127"/>
      <c r="J415" s="328"/>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row>
    <row r="416" spans="2:41" x14ac:dyDescent="0.25">
      <c r="B416" s="127"/>
      <c r="C416" s="127"/>
      <c r="D416" s="175"/>
      <c r="E416" s="127"/>
      <c r="F416" s="127"/>
      <c r="G416" s="127"/>
      <c r="H416" s="127"/>
      <c r="I416" s="127"/>
      <c r="J416" s="328"/>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row>
    <row r="417" spans="2:41" x14ac:dyDescent="0.25">
      <c r="B417" s="127"/>
      <c r="C417" s="127"/>
      <c r="D417" s="175"/>
      <c r="E417" s="127"/>
      <c r="F417" s="127"/>
      <c r="G417" s="127"/>
      <c r="H417" s="127"/>
      <c r="I417" s="127"/>
      <c r="J417" s="328"/>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row>
    <row r="418" spans="2:41" x14ac:dyDescent="0.25">
      <c r="B418" s="127"/>
      <c r="C418" s="127"/>
      <c r="D418" s="175"/>
      <c r="E418" s="127"/>
      <c r="F418" s="127"/>
      <c r="G418" s="127"/>
      <c r="H418" s="127"/>
      <c r="I418" s="127"/>
      <c r="J418" s="328"/>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row>
    <row r="419" spans="2:41" x14ac:dyDescent="0.25">
      <c r="B419" s="127"/>
      <c r="C419" s="127"/>
      <c r="D419" s="175"/>
      <c r="E419" s="127"/>
      <c r="F419" s="127"/>
      <c r="G419" s="127"/>
      <c r="H419" s="127"/>
      <c r="I419" s="127"/>
      <c r="J419" s="328"/>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row>
    <row r="420" spans="2:41" x14ac:dyDescent="0.25">
      <c r="B420" s="127"/>
      <c r="C420" s="127"/>
      <c r="D420" s="175"/>
      <c r="E420" s="127"/>
      <c r="F420" s="127"/>
      <c r="G420" s="127"/>
      <c r="H420" s="127"/>
      <c r="I420" s="127"/>
      <c r="J420" s="328"/>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row>
    <row r="421" spans="2:41" x14ac:dyDescent="0.25">
      <c r="B421" s="127"/>
      <c r="C421" s="127"/>
      <c r="D421" s="175"/>
      <c r="E421" s="127"/>
      <c r="F421" s="127"/>
      <c r="G421" s="127"/>
      <c r="H421" s="127"/>
      <c r="I421" s="127"/>
      <c r="J421" s="328"/>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row>
    <row r="422" spans="2:41" x14ac:dyDescent="0.25">
      <c r="B422" s="127"/>
      <c r="C422" s="127"/>
      <c r="D422" s="175"/>
      <c r="E422" s="127"/>
      <c r="F422" s="127"/>
      <c r="G422" s="127"/>
      <c r="H422" s="127"/>
      <c r="I422" s="127"/>
      <c r="J422" s="328"/>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row>
    <row r="423" spans="2:41" x14ac:dyDescent="0.25">
      <c r="B423" s="127"/>
      <c r="C423" s="127"/>
      <c r="D423" s="175"/>
      <c r="E423" s="127"/>
      <c r="F423" s="127"/>
      <c r="G423" s="127"/>
      <c r="H423" s="127"/>
      <c r="I423" s="127"/>
      <c r="J423" s="328"/>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row>
    <row r="424" spans="2:41" x14ac:dyDescent="0.25">
      <c r="B424" s="127"/>
      <c r="C424" s="127"/>
      <c r="D424" s="175"/>
      <c r="E424" s="127"/>
      <c r="F424" s="127"/>
      <c r="G424" s="127"/>
      <c r="H424" s="127"/>
      <c r="I424" s="127"/>
      <c r="J424" s="328"/>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row>
    <row r="425" spans="2:41" x14ac:dyDescent="0.25">
      <c r="B425" s="127"/>
      <c r="C425" s="127"/>
      <c r="D425" s="175"/>
      <c r="E425" s="127"/>
      <c r="F425" s="127"/>
      <c r="G425" s="127"/>
      <c r="H425" s="127"/>
      <c r="I425" s="127"/>
      <c r="J425" s="328"/>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row>
    <row r="426" spans="2:41" x14ac:dyDescent="0.25">
      <c r="B426" s="127"/>
      <c r="C426" s="127"/>
      <c r="D426" s="175"/>
      <c r="E426" s="127"/>
      <c r="F426" s="127"/>
      <c r="G426" s="127"/>
      <c r="H426" s="127"/>
      <c r="I426" s="127"/>
      <c r="J426" s="328"/>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row>
    <row r="427" spans="2:41" x14ac:dyDescent="0.25">
      <c r="B427" s="127"/>
      <c r="C427" s="127"/>
      <c r="D427" s="175"/>
      <c r="E427" s="127"/>
      <c r="F427" s="127"/>
      <c r="G427" s="127"/>
      <c r="H427" s="127"/>
      <c r="I427" s="127"/>
      <c r="J427" s="328"/>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row>
    <row r="428" spans="2:41" x14ac:dyDescent="0.25">
      <c r="B428" s="127"/>
      <c r="C428" s="127"/>
      <c r="D428" s="175"/>
      <c r="E428" s="127"/>
      <c r="F428" s="127"/>
      <c r="G428" s="127"/>
      <c r="H428" s="127"/>
      <c r="I428" s="127"/>
      <c r="J428" s="328"/>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row>
    <row r="429" spans="2:41" x14ac:dyDescent="0.25">
      <c r="B429" s="127"/>
      <c r="C429" s="127"/>
      <c r="D429" s="175"/>
      <c r="E429" s="127"/>
      <c r="F429" s="127"/>
      <c r="G429" s="127"/>
      <c r="H429" s="127"/>
      <c r="I429" s="127"/>
      <c r="J429" s="328"/>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row>
    <row r="430" spans="2:41" x14ac:dyDescent="0.25">
      <c r="B430" s="127"/>
      <c r="C430" s="127"/>
      <c r="D430" s="175"/>
      <c r="E430" s="127"/>
      <c r="F430" s="127"/>
      <c r="G430" s="127"/>
      <c r="H430" s="127"/>
      <c r="I430" s="127"/>
      <c r="J430" s="328"/>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row>
    <row r="431" spans="2:41" x14ac:dyDescent="0.25">
      <c r="B431" s="127"/>
      <c r="C431" s="127"/>
      <c r="D431" s="175"/>
      <c r="E431" s="127"/>
      <c r="F431" s="127"/>
      <c r="G431" s="127"/>
      <c r="H431" s="127"/>
      <c r="I431" s="127"/>
      <c r="J431" s="328"/>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row>
    <row r="432" spans="2:41" x14ac:dyDescent="0.25">
      <c r="B432" s="127"/>
      <c r="C432" s="127"/>
      <c r="D432" s="175"/>
      <c r="E432" s="127"/>
      <c r="F432" s="127"/>
      <c r="G432" s="127"/>
      <c r="H432" s="127"/>
      <c r="I432" s="127"/>
      <c r="J432" s="328"/>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row>
    <row r="433" spans="2:41" x14ac:dyDescent="0.25">
      <c r="B433" s="127"/>
      <c r="C433" s="127"/>
      <c r="D433" s="175"/>
      <c r="E433" s="127"/>
      <c r="F433" s="127"/>
      <c r="G433" s="127"/>
      <c r="H433" s="127"/>
      <c r="I433" s="127"/>
      <c r="J433" s="328"/>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row>
    <row r="434" spans="2:41" x14ac:dyDescent="0.25">
      <c r="B434" s="127"/>
      <c r="C434" s="127"/>
      <c r="D434" s="175"/>
      <c r="E434" s="127"/>
      <c r="F434" s="127"/>
      <c r="G434" s="127"/>
      <c r="H434" s="127"/>
      <c r="I434" s="127"/>
      <c r="J434" s="328"/>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row>
    <row r="435" spans="2:41" x14ac:dyDescent="0.25">
      <c r="B435" s="127"/>
      <c r="C435" s="127"/>
      <c r="D435" s="175"/>
      <c r="E435" s="127"/>
      <c r="F435" s="127"/>
      <c r="G435" s="127"/>
      <c r="H435" s="127"/>
      <c r="I435" s="127"/>
      <c r="J435" s="328"/>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row>
    <row r="436" spans="2:41" x14ac:dyDescent="0.25">
      <c r="B436" s="127"/>
      <c r="C436" s="127"/>
      <c r="D436" s="175"/>
      <c r="E436" s="127"/>
      <c r="F436" s="127"/>
      <c r="G436" s="127"/>
      <c r="H436" s="127"/>
      <c r="I436" s="127"/>
      <c r="J436" s="328"/>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row>
    <row r="437" spans="2:41" x14ac:dyDescent="0.25">
      <c r="B437" s="127"/>
      <c r="C437" s="127"/>
      <c r="D437" s="175"/>
      <c r="E437" s="127"/>
      <c r="F437" s="127"/>
      <c r="G437" s="127"/>
      <c r="H437" s="127"/>
      <c r="I437" s="127"/>
      <c r="J437" s="328"/>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row>
    <row r="438" spans="2:41" x14ac:dyDescent="0.25">
      <c r="B438" s="127"/>
      <c r="C438" s="127"/>
      <c r="D438" s="175"/>
      <c r="E438" s="127"/>
      <c r="F438" s="127"/>
      <c r="G438" s="127"/>
      <c r="H438" s="127"/>
      <c r="I438" s="127"/>
      <c r="J438" s="328"/>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row>
    <row r="439" spans="2:41" x14ac:dyDescent="0.25">
      <c r="B439" s="127"/>
      <c r="C439" s="127"/>
      <c r="D439" s="175"/>
      <c r="E439" s="127"/>
      <c r="F439" s="127"/>
      <c r="G439" s="127"/>
      <c r="H439" s="127"/>
      <c r="I439" s="127"/>
      <c r="J439" s="328"/>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row>
    <row r="440" spans="2:41" x14ac:dyDescent="0.25">
      <c r="B440" s="127"/>
      <c r="C440" s="127"/>
      <c r="D440" s="175"/>
      <c r="E440" s="127"/>
      <c r="F440" s="127"/>
      <c r="G440" s="127"/>
      <c r="H440" s="127"/>
      <c r="I440" s="127"/>
      <c r="J440" s="328"/>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row>
    <row r="441" spans="2:41" x14ac:dyDescent="0.25">
      <c r="B441" s="127"/>
      <c r="C441" s="127"/>
      <c r="D441" s="175"/>
      <c r="E441" s="127"/>
      <c r="F441" s="127"/>
      <c r="G441" s="127"/>
      <c r="H441" s="127"/>
      <c r="I441" s="127"/>
      <c r="J441" s="328"/>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row>
    <row r="442" spans="2:41" x14ac:dyDescent="0.25">
      <c r="B442" s="127"/>
      <c r="C442" s="127"/>
      <c r="D442" s="175"/>
      <c r="E442" s="127"/>
      <c r="F442" s="127"/>
      <c r="G442" s="127"/>
      <c r="H442" s="127"/>
      <c r="I442" s="127"/>
      <c r="J442" s="328"/>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row>
    <row r="443" spans="2:41" x14ac:dyDescent="0.25">
      <c r="B443" s="127"/>
      <c r="C443" s="127"/>
      <c r="D443" s="175"/>
      <c r="E443" s="127"/>
      <c r="F443" s="127"/>
      <c r="G443" s="127"/>
      <c r="H443" s="127"/>
      <c r="I443" s="127"/>
      <c r="J443" s="328"/>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row>
    <row r="444" spans="2:41" x14ac:dyDescent="0.25">
      <c r="B444" s="127"/>
      <c r="C444" s="127"/>
      <c r="D444" s="175"/>
      <c r="E444" s="127"/>
      <c r="F444" s="127"/>
      <c r="G444" s="127"/>
      <c r="H444" s="127"/>
      <c r="I444" s="127"/>
      <c r="J444" s="328"/>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row>
    <row r="445" spans="2:41" x14ac:dyDescent="0.25">
      <c r="B445" s="127"/>
      <c r="C445" s="127"/>
      <c r="D445" s="175"/>
      <c r="E445" s="127"/>
      <c r="F445" s="127"/>
      <c r="G445" s="127"/>
      <c r="H445" s="127"/>
      <c r="I445" s="127"/>
      <c r="J445" s="328"/>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row>
    <row r="446" spans="2:41" x14ac:dyDescent="0.25">
      <c r="B446" s="127"/>
      <c r="C446" s="127"/>
      <c r="D446" s="175"/>
      <c r="E446" s="127"/>
      <c r="F446" s="127"/>
      <c r="G446" s="127"/>
      <c r="H446" s="127"/>
      <c r="I446" s="127"/>
      <c r="J446" s="328"/>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row>
    <row r="447" spans="2:41" x14ac:dyDescent="0.25">
      <c r="B447" s="127"/>
      <c r="C447" s="127"/>
      <c r="D447" s="175"/>
      <c r="E447" s="127"/>
      <c r="F447" s="127"/>
      <c r="G447" s="127"/>
      <c r="H447" s="127"/>
      <c r="I447" s="127"/>
      <c r="J447" s="328"/>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row>
    <row r="448" spans="2:41" x14ac:dyDescent="0.25">
      <c r="B448" s="127"/>
      <c r="C448" s="127"/>
      <c r="D448" s="175"/>
      <c r="E448" s="127"/>
      <c r="F448" s="127"/>
      <c r="G448" s="127"/>
      <c r="H448" s="127"/>
      <c r="I448" s="127"/>
      <c r="J448" s="328"/>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row>
    <row r="449" spans="2:41" x14ac:dyDescent="0.25">
      <c r="B449" s="127"/>
      <c r="C449" s="127"/>
      <c r="D449" s="175"/>
      <c r="E449" s="127"/>
      <c r="F449" s="127"/>
      <c r="G449" s="127"/>
      <c r="H449" s="127"/>
      <c r="I449" s="127"/>
      <c r="J449" s="328"/>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row>
    <row r="450" spans="2:41" x14ac:dyDescent="0.25">
      <c r="B450" s="127"/>
      <c r="C450" s="127"/>
      <c r="D450" s="175"/>
      <c r="E450" s="127"/>
      <c r="F450" s="127"/>
      <c r="G450" s="127"/>
      <c r="H450" s="127"/>
      <c r="I450" s="127"/>
      <c r="J450" s="328"/>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row>
    <row r="451" spans="2:41" x14ac:dyDescent="0.25">
      <c r="B451" s="127"/>
      <c r="C451" s="127"/>
      <c r="D451" s="175"/>
      <c r="E451" s="127"/>
      <c r="F451" s="127"/>
      <c r="G451" s="127"/>
      <c r="H451" s="127"/>
      <c r="I451" s="127"/>
      <c r="J451" s="328"/>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row>
    <row r="452" spans="2:41" x14ac:dyDescent="0.25">
      <c r="B452" s="127"/>
      <c r="C452" s="127"/>
      <c r="D452" s="175"/>
      <c r="E452" s="127"/>
      <c r="F452" s="127"/>
      <c r="G452" s="127"/>
      <c r="H452" s="127"/>
      <c r="I452" s="127"/>
      <c r="J452" s="328"/>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row>
    <row r="453" spans="2:41" x14ac:dyDescent="0.25">
      <c r="B453" s="127"/>
      <c r="C453" s="127"/>
      <c r="D453" s="175"/>
      <c r="E453" s="127"/>
      <c r="F453" s="127"/>
      <c r="G453" s="127"/>
      <c r="H453" s="127"/>
      <c r="I453" s="127"/>
      <c r="J453" s="328"/>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row>
    <row r="454" spans="2:41" x14ac:dyDescent="0.25">
      <c r="B454" s="127"/>
      <c r="C454" s="127"/>
      <c r="D454" s="175"/>
      <c r="E454" s="127"/>
      <c r="F454" s="127"/>
      <c r="G454" s="127"/>
      <c r="H454" s="127"/>
      <c r="I454" s="127"/>
      <c r="J454" s="328"/>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row>
    <row r="455" spans="2:41" x14ac:dyDescent="0.25">
      <c r="B455" s="127"/>
      <c r="C455" s="127"/>
      <c r="D455" s="175"/>
      <c r="E455" s="127"/>
      <c r="F455" s="127"/>
      <c r="G455" s="127"/>
      <c r="H455" s="127"/>
      <c r="I455" s="127"/>
      <c r="J455" s="328"/>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row>
    <row r="456" spans="2:41" x14ac:dyDescent="0.25">
      <c r="B456" s="127"/>
      <c r="C456" s="127"/>
      <c r="D456" s="175"/>
      <c r="E456" s="127"/>
      <c r="F456" s="127"/>
      <c r="G456" s="127"/>
      <c r="H456" s="127"/>
      <c r="I456" s="127"/>
      <c r="J456" s="328"/>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row>
    <row r="457" spans="2:41" x14ac:dyDescent="0.25">
      <c r="B457" s="127"/>
      <c r="C457" s="127"/>
      <c r="D457" s="175"/>
      <c r="E457" s="127"/>
      <c r="F457" s="127"/>
      <c r="G457" s="127"/>
      <c r="H457" s="127"/>
      <c r="I457" s="127"/>
      <c r="J457" s="328"/>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row>
    <row r="458" spans="2:41" x14ac:dyDescent="0.25">
      <c r="B458" s="127"/>
      <c r="C458" s="127"/>
      <c r="D458" s="175"/>
      <c r="E458" s="127"/>
      <c r="F458" s="127"/>
      <c r="G458" s="127"/>
      <c r="H458" s="127"/>
      <c r="I458" s="127"/>
      <c r="J458" s="328"/>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row>
    <row r="459" spans="2:41" x14ac:dyDescent="0.25">
      <c r="B459" s="127"/>
      <c r="C459" s="127"/>
      <c r="D459" s="175"/>
      <c r="E459" s="127"/>
      <c r="F459" s="127"/>
      <c r="G459" s="127"/>
      <c r="H459" s="127"/>
      <c r="I459" s="127"/>
      <c r="J459" s="328"/>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row>
    <row r="460" spans="2:41" x14ac:dyDescent="0.25">
      <c r="B460" s="127"/>
      <c r="C460" s="127"/>
      <c r="D460" s="175"/>
      <c r="E460" s="127"/>
      <c r="F460" s="127"/>
      <c r="G460" s="127"/>
      <c r="H460" s="127"/>
      <c r="I460" s="127"/>
      <c r="J460" s="328"/>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row>
    <row r="461" spans="2:41" x14ac:dyDescent="0.25">
      <c r="B461" s="127"/>
      <c r="C461" s="127"/>
      <c r="D461" s="175"/>
      <c r="E461" s="127"/>
      <c r="F461" s="127"/>
      <c r="G461" s="127"/>
      <c r="H461" s="127"/>
      <c r="I461" s="127"/>
      <c r="J461" s="328"/>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row>
    <row r="462" spans="2:41" x14ac:dyDescent="0.25">
      <c r="B462" s="127"/>
      <c r="C462" s="127"/>
      <c r="D462" s="175"/>
      <c r="E462" s="127"/>
      <c r="F462" s="127"/>
      <c r="G462" s="127"/>
      <c r="H462" s="127"/>
      <c r="I462" s="127"/>
      <c r="J462" s="328"/>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row>
    <row r="463" spans="2:41" x14ac:dyDescent="0.25">
      <c r="B463" s="127"/>
      <c r="C463" s="127"/>
      <c r="D463" s="175"/>
      <c r="E463" s="127"/>
      <c r="F463" s="127"/>
      <c r="G463" s="127"/>
      <c r="H463" s="127"/>
      <c r="I463" s="127"/>
      <c r="J463" s="328"/>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row>
    <row r="464" spans="2:41" x14ac:dyDescent="0.25">
      <c r="B464" s="127"/>
      <c r="C464" s="127"/>
      <c r="D464" s="175"/>
      <c r="E464" s="127"/>
      <c r="F464" s="127"/>
      <c r="G464" s="127"/>
      <c r="H464" s="127"/>
      <c r="I464" s="127"/>
      <c r="J464" s="328"/>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row>
    <row r="465" spans="2:41" x14ac:dyDescent="0.25">
      <c r="B465" s="127"/>
      <c r="C465" s="127"/>
      <c r="D465" s="175"/>
      <c r="E465" s="127"/>
      <c r="F465" s="127"/>
      <c r="G465" s="127"/>
      <c r="H465" s="127"/>
      <c r="I465" s="127"/>
      <c r="J465" s="328"/>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row>
    <row r="466" spans="2:41" x14ac:dyDescent="0.25">
      <c r="B466" s="127"/>
      <c r="C466" s="127"/>
      <c r="D466" s="175"/>
      <c r="E466" s="127"/>
      <c r="F466" s="127"/>
      <c r="G466" s="127"/>
      <c r="H466" s="127"/>
      <c r="I466" s="127"/>
      <c r="J466" s="328"/>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row>
    <row r="467" spans="2:41" x14ac:dyDescent="0.25">
      <c r="B467" s="127"/>
      <c r="C467" s="127"/>
      <c r="D467" s="175"/>
      <c r="E467" s="127"/>
      <c r="F467" s="127"/>
      <c r="G467" s="127"/>
      <c r="H467" s="127"/>
      <c r="I467" s="127"/>
      <c r="J467" s="328"/>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row>
    <row r="468" spans="2:41" x14ac:dyDescent="0.25">
      <c r="B468" s="127"/>
      <c r="C468" s="127"/>
      <c r="D468" s="175"/>
      <c r="E468" s="127"/>
      <c r="F468" s="127"/>
      <c r="G468" s="127"/>
      <c r="H468" s="127"/>
      <c r="I468" s="127"/>
      <c r="J468" s="328"/>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row>
    <row r="469" spans="2:41" x14ac:dyDescent="0.25">
      <c r="B469" s="127"/>
      <c r="C469" s="127"/>
      <c r="D469" s="175"/>
      <c r="E469" s="127"/>
      <c r="F469" s="127"/>
      <c r="G469" s="127"/>
      <c r="H469" s="127"/>
      <c r="I469" s="127"/>
      <c r="J469" s="328"/>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row>
    <row r="470" spans="2:41" x14ac:dyDescent="0.25">
      <c r="B470" s="127"/>
      <c r="C470" s="127"/>
      <c r="D470" s="175"/>
      <c r="E470" s="127"/>
      <c r="F470" s="127"/>
      <c r="G470" s="127"/>
      <c r="H470" s="127"/>
      <c r="I470" s="127"/>
      <c r="J470" s="328"/>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row>
    <row r="471" spans="2:41" x14ac:dyDescent="0.25">
      <c r="B471" s="127"/>
      <c r="C471" s="127"/>
      <c r="D471" s="175"/>
      <c r="E471" s="127"/>
      <c r="F471" s="127"/>
      <c r="G471" s="127"/>
      <c r="H471" s="127"/>
      <c r="I471" s="127"/>
      <c r="J471" s="328"/>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row>
    <row r="472" spans="2:41" x14ac:dyDescent="0.25">
      <c r="B472" s="127"/>
      <c r="C472" s="127"/>
      <c r="D472" s="175"/>
      <c r="E472" s="127"/>
      <c r="F472" s="127"/>
      <c r="G472" s="127"/>
      <c r="H472" s="127"/>
      <c r="I472" s="127"/>
      <c r="J472" s="328"/>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row>
    <row r="473" spans="2:41" x14ac:dyDescent="0.25">
      <c r="B473" s="127"/>
      <c r="C473" s="127"/>
      <c r="D473" s="175"/>
      <c r="E473" s="127"/>
      <c r="F473" s="127"/>
      <c r="G473" s="127"/>
      <c r="H473" s="127"/>
      <c r="I473" s="127"/>
      <c r="J473" s="328"/>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row>
    <row r="474" spans="2:41" x14ac:dyDescent="0.25">
      <c r="B474" s="127"/>
      <c r="C474" s="127"/>
      <c r="D474" s="175"/>
      <c r="E474" s="127"/>
      <c r="F474" s="127"/>
      <c r="G474" s="127"/>
      <c r="H474" s="127"/>
      <c r="I474" s="127"/>
      <c r="J474" s="328"/>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row>
    <row r="475" spans="2:41" x14ac:dyDescent="0.25">
      <c r="B475" s="127"/>
      <c r="C475" s="127"/>
      <c r="D475" s="175"/>
      <c r="E475" s="127"/>
      <c r="F475" s="127"/>
      <c r="G475" s="127"/>
      <c r="H475" s="127"/>
      <c r="I475" s="127"/>
      <c r="J475" s="328"/>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row>
    <row r="476" spans="2:41" x14ac:dyDescent="0.25">
      <c r="B476" s="127"/>
      <c r="C476" s="127"/>
      <c r="D476" s="175"/>
      <c r="E476" s="127"/>
      <c r="F476" s="127"/>
      <c r="G476" s="127"/>
      <c r="H476" s="127"/>
      <c r="I476" s="127"/>
      <c r="J476" s="328"/>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row>
    <row r="477" spans="2:41" x14ac:dyDescent="0.25">
      <c r="B477" s="127"/>
      <c r="C477" s="127"/>
      <c r="D477" s="175"/>
      <c r="E477" s="127"/>
      <c r="F477" s="127"/>
      <c r="G477" s="127"/>
      <c r="H477" s="127"/>
      <c r="I477" s="127"/>
      <c r="J477" s="328"/>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row>
    <row r="478" spans="2:41" x14ac:dyDescent="0.25">
      <c r="B478" s="127"/>
      <c r="C478" s="127"/>
      <c r="D478" s="175"/>
      <c r="E478" s="127"/>
      <c r="F478" s="127"/>
      <c r="G478" s="127"/>
      <c r="H478" s="127"/>
      <c r="I478" s="127"/>
      <c r="J478" s="328"/>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row>
    <row r="479" spans="2:41" x14ac:dyDescent="0.25">
      <c r="B479" s="127"/>
      <c r="C479" s="127"/>
      <c r="D479" s="175"/>
      <c r="E479" s="127"/>
      <c r="F479" s="127"/>
      <c r="G479" s="127"/>
      <c r="H479" s="127"/>
      <c r="I479" s="127"/>
      <c r="J479" s="328"/>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row>
    <row r="480" spans="2:41" x14ac:dyDescent="0.25">
      <c r="B480" s="127"/>
      <c r="C480" s="127"/>
      <c r="D480" s="175"/>
      <c r="E480" s="127"/>
      <c r="F480" s="127"/>
      <c r="G480" s="127"/>
      <c r="H480" s="127"/>
      <c r="I480" s="127"/>
      <c r="J480" s="328"/>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row>
    <row r="481" spans="2:41" x14ac:dyDescent="0.25">
      <c r="B481" s="127"/>
      <c r="C481" s="127"/>
      <c r="D481" s="175"/>
      <c r="E481" s="127"/>
      <c r="F481" s="127"/>
      <c r="G481" s="127"/>
      <c r="H481" s="127"/>
      <c r="I481" s="127"/>
      <c r="J481" s="328"/>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row>
    <row r="482" spans="2:41" x14ac:dyDescent="0.25">
      <c r="B482" s="127"/>
      <c r="C482" s="127"/>
      <c r="D482" s="175"/>
      <c r="E482" s="127"/>
      <c r="F482" s="127"/>
      <c r="G482" s="127"/>
      <c r="H482" s="127"/>
      <c r="I482" s="127"/>
      <c r="J482" s="328"/>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row>
    <row r="483" spans="2:41" x14ac:dyDescent="0.25">
      <c r="B483" s="127"/>
      <c r="C483" s="127"/>
      <c r="D483" s="175"/>
      <c r="E483" s="127"/>
      <c r="F483" s="127"/>
      <c r="G483" s="127"/>
      <c r="H483" s="127"/>
      <c r="I483" s="127"/>
      <c r="J483" s="328"/>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row>
    <row r="484" spans="2:41" x14ac:dyDescent="0.25">
      <c r="B484" s="127"/>
      <c r="C484" s="127"/>
      <c r="D484" s="175"/>
      <c r="E484" s="127"/>
      <c r="F484" s="127"/>
      <c r="G484" s="127"/>
      <c r="H484" s="127"/>
      <c r="I484" s="127"/>
      <c r="J484" s="328"/>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row>
    <row r="485" spans="2:41" x14ac:dyDescent="0.25">
      <c r="B485" s="127"/>
      <c r="C485" s="127"/>
      <c r="D485" s="175"/>
      <c r="E485" s="127"/>
      <c r="F485" s="127"/>
      <c r="G485" s="127"/>
      <c r="H485" s="127"/>
      <c r="I485" s="127"/>
      <c r="J485" s="328"/>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row>
    <row r="486" spans="2:41" x14ac:dyDescent="0.25">
      <c r="B486" s="127"/>
      <c r="C486" s="127"/>
      <c r="D486" s="175"/>
      <c r="E486" s="127"/>
      <c r="F486" s="127"/>
      <c r="G486" s="127"/>
      <c r="H486" s="127"/>
      <c r="I486" s="127"/>
      <c r="J486" s="328"/>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row>
    <row r="487" spans="2:41" x14ac:dyDescent="0.25">
      <c r="B487" s="127"/>
      <c r="C487" s="127"/>
      <c r="D487" s="175"/>
      <c r="E487" s="127"/>
      <c r="F487" s="127"/>
      <c r="G487" s="127"/>
      <c r="H487" s="127"/>
      <c r="I487" s="127"/>
      <c r="J487" s="328"/>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row>
    <row r="488" spans="2:41" x14ac:dyDescent="0.25">
      <c r="B488" s="127"/>
      <c r="C488" s="127"/>
      <c r="D488" s="175"/>
      <c r="E488" s="127"/>
      <c r="F488" s="127"/>
      <c r="G488" s="127"/>
      <c r="H488" s="127"/>
      <c r="I488" s="127"/>
      <c r="J488" s="328"/>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row>
    <row r="489" spans="2:41" x14ac:dyDescent="0.25">
      <c r="B489" s="127"/>
      <c r="C489" s="127"/>
      <c r="D489" s="175"/>
      <c r="E489" s="127"/>
      <c r="F489" s="127"/>
      <c r="G489" s="127"/>
      <c r="H489" s="127"/>
      <c r="I489" s="127"/>
      <c r="J489" s="328"/>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row>
    <row r="490" spans="2:41" x14ac:dyDescent="0.25">
      <c r="B490" s="127"/>
      <c r="C490" s="127"/>
      <c r="D490" s="175"/>
      <c r="E490" s="127"/>
      <c r="F490" s="127"/>
      <c r="G490" s="127"/>
      <c r="H490" s="127"/>
      <c r="I490" s="127"/>
      <c r="J490" s="328"/>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row>
    <row r="491" spans="2:41" x14ac:dyDescent="0.25">
      <c r="B491" s="127"/>
      <c r="C491" s="127"/>
      <c r="D491" s="175"/>
      <c r="E491" s="127"/>
      <c r="F491" s="127"/>
      <c r="G491" s="127"/>
      <c r="H491" s="127"/>
      <c r="I491" s="127"/>
      <c r="J491" s="328"/>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row>
    <row r="492" spans="2:41" x14ac:dyDescent="0.25">
      <c r="B492" s="127"/>
      <c r="C492" s="127"/>
      <c r="D492" s="175"/>
      <c r="E492" s="127"/>
      <c r="F492" s="127"/>
      <c r="G492" s="127"/>
      <c r="H492" s="127"/>
      <c r="I492" s="127"/>
      <c r="J492" s="328"/>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row>
    <row r="493" spans="2:41" x14ac:dyDescent="0.25">
      <c r="B493" s="127"/>
      <c r="C493" s="127"/>
      <c r="D493" s="175"/>
      <c r="E493" s="127"/>
      <c r="F493" s="127"/>
      <c r="G493" s="127"/>
      <c r="H493" s="127"/>
      <c r="I493" s="127"/>
      <c r="J493" s="328"/>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row>
    <row r="494" spans="2:41" x14ac:dyDescent="0.25">
      <c r="B494" s="127"/>
      <c r="C494" s="127"/>
      <c r="D494" s="175"/>
      <c r="E494" s="127"/>
      <c r="F494" s="127"/>
      <c r="G494" s="127"/>
      <c r="H494" s="127"/>
      <c r="I494" s="127"/>
      <c r="J494" s="328"/>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row>
    <row r="495" spans="2:41" x14ac:dyDescent="0.25">
      <c r="B495" s="127"/>
      <c r="C495" s="127"/>
      <c r="D495" s="175"/>
      <c r="E495" s="127"/>
      <c r="F495" s="127"/>
      <c r="G495" s="127"/>
      <c r="H495" s="127"/>
      <c r="I495" s="127"/>
      <c r="J495" s="328"/>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row>
    <row r="496" spans="2:41" x14ac:dyDescent="0.25">
      <c r="B496" s="127"/>
      <c r="C496" s="127"/>
      <c r="D496" s="175"/>
      <c r="E496" s="127"/>
      <c r="F496" s="127"/>
      <c r="G496" s="127"/>
      <c r="H496" s="127"/>
      <c r="I496" s="127"/>
      <c r="J496" s="328"/>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row>
    <row r="497" spans="2:41" x14ac:dyDescent="0.25">
      <c r="B497" s="127"/>
      <c r="C497" s="127"/>
      <c r="D497" s="175"/>
      <c r="E497" s="127"/>
      <c r="F497" s="127"/>
      <c r="G497" s="127"/>
      <c r="H497" s="127"/>
      <c r="I497" s="127"/>
      <c r="J497" s="328"/>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row>
    <row r="498" spans="2:41" x14ac:dyDescent="0.25">
      <c r="B498" s="127"/>
      <c r="C498" s="127"/>
      <c r="D498" s="175"/>
      <c r="E498" s="127"/>
      <c r="F498" s="127"/>
      <c r="G498" s="127"/>
      <c r="H498" s="127"/>
      <c r="I498" s="127"/>
      <c r="J498" s="328"/>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row>
    <row r="499" spans="2:41" x14ac:dyDescent="0.25">
      <c r="B499" s="127"/>
      <c r="C499" s="127"/>
      <c r="D499" s="175"/>
      <c r="E499" s="127"/>
      <c r="F499" s="127"/>
      <c r="G499" s="127"/>
      <c r="H499" s="127"/>
      <c r="I499" s="127"/>
      <c r="J499" s="328"/>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row>
    <row r="500" spans="2:41" x14ac:dyDescent="0.25">
      <c r="B500" s="127"/>
      <c r="C500" s="127"/>
      <c r="D500" s="175"/>
      <c r="E500" s="127"/>
      <c r="F500" s="127"/>
      <c r="G500" s="127"/>
      <c r="H500" s="127"/>
      <c r="I500" s="127"/>
      <c r="J500" s="328"/>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row>
    <row r="501" spans="2:41" x14ac:dyDescent="0.25">
      <c r="B501" s="127"/>
      <c r="C501" s="127"/>
      <c r="D501" s="175"/>
      <c r="E501" s="127"/>
      <c r="F501" s="127"/>
      <c r="G501" s="127"/>
      <c r="H501" s="127"/>
      <c r="I501" s="127"/>
      <c r="J501" s="328"/>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row>
    <row r="502" spans="2:41" x14ac:dyDescent="0.25">
      <c r="B502" s="127"/>
      <c r="C502" s="127"/>
      <c r="D502" s="175"/>
      <c r="E502" s="127"/>
      <c r="F502" s="127"/>
      <c r="G502" s="127"/>
      <c r="H502" s="127"/>
      <c r="I502" s="127"/>
      <c r="J502" s="328"/>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row>
    <row r="503" spans="2:41" x14ac:dyDescent="0.25">
      <c r="B503" s="127"/>
      <c r="C503" s="127"/>
      <c r="D503" s="175"/>
      <c r="E503" s="127"/>
      <c r="F503" s="127"/>
      <c r="G503" s="127"/>
      <c r="H503" s="127"/>
      <c r="I503" s="127"/>
      <c r="J503" s="328"/>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row>
    <row r="504" spans="2:41" x14ac:dyDescent="0.25">
      <c r="B504" s="127"/>
      <c r="C504" s="127"/>
      <c r="D504" s="175"/>
      <c r="E504" s="127"/>
      <c r="F504" s="127"/>
      <c r="G504" s="127"/>
      <c r="H504" s="127"/>
      <c r="I504" s="127"/>
      <c r="J504" s="328"/>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row>
    <row r="505" spans="2:41" x14ac:dyDescent="0.25">
      <c r="B505" s="127"/>
      <c r="C505" s="127"/>
      <c r="D505" s="175"/>
      <c r="E505" s="127"/>
      <c r="F505" s="127"/>
      <c r="G505" s="127"/>
      <c r="H505" s="127"/>
      <c r="I505" s="127"/>
      <c r="J505" s="328"/>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row>
    <row r="506" spans="2:41" x14ac:dyDescent="0.25">
      <c r="B506" s="127"/>
      <c r="C506" s="127"/>
      <c r="D506" s="175"/>
      <c r="E506" s="127"/>
      <c r="F506" s="127"/>
      <c r="G506" s="127"/>
      <c r="H506" s="127"/>
      <c r="I506" s="127"/>
      <c r="J506" s="328"/>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row>
    <row r="507" spans="2:41" x14ac:dyDescent="0.25">
      <c r="B507" s="127"/>
      <c r="C507" s="127"/>
      <c r="D507" s="175"/>
      <c r="E507" s="127"/>
      <c r="F507" s="127"/>
      <c r="G507" s="127"/>
      <c r="H507" s="127"/>
      <c r="I507" s="127"/>
      <c r="J507" s="328"/>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row>
    <row r="508" spans="2:41" x14ac:dyDescent="0.25">
      <c r="B508" s="127"/>
      <c r="C508" s="127"/>
      <c r="D508" s="175"/>
      <c r="E508" s="127"/>
      <c r="F508" s="127"/>
      <c r="G508" s="127"/>
      <c r="H508" s="127"/>
      <c r="I508" s="127"/>
      <c r="J508" s="328"/>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row>
    <row r="509" spans="2:41" x14ac:dyDescent="0.25">
      <c r="B509" s="127"/>
      <c r="C509" s="127"/>
      <c r="D509" s="175"/>
      <c r="E509" s="127"/>
      <c r="F509" s="127"/>
      <c r="G509" s="127"/>
      <c r="H509" s="127"/>
      <c r="I509" s="127"/>
      <c r="J509" s="328"/>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row>
    <row r="510" spans="2:41" x14ac:dyDescent="0.25">
      <c r="B510" s="127"/>
      <c r="C510" s="127"/>
      <c r="D510" s="175"/>
      <c r="E510" s="127"/>
      <c r="F510" s="127"/>
      <c r="G510" s="127"/>
      <c r="H510" s="127"/>
      <c r="I510" s="127"/>
      <c r="J510" s="328"/>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row>
    <row r="511" spans="2:41" x14ac:dyDescent="0.25">
      <c r="B511" s="127"/>
      <c r="C511" s="127"/>
      <c r="D511" s="175"/>
      <c r="E511" s="127"/>
      <c r="F511" s="127"/>
      <c r="G511" s="127"/>
      <c r="H511" s="127"/>
      <c r="I511" s="127"/>
      <c r="J511" s="328"/>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row>
    <row r="512" spans="2:41" x14ac:dyDescent="0.25">
      <c r="B512" s="127"/>
      <c r="C512" s="127"/>
      <c r="D512" s="175"/>
      <c r="E512" s="127"/>
      <c r="F512" s="127"/>
      <c r="G512" s="127"/>
      <c r="H512" s="127"/>
      <c r="I512" s="127"/>
      <c r="J512" s="328"/>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row>
  </sheetData>
  <sheetProtection password="CF27" sheet="1" objects="1" scenarios="1"/>
  <mergeCells count="13">
    <mergeCell ref="B171:B194"/>
    <mergeCell ref="B199:B222"/>
    <mergeCell ref="B227:B250"/>
    <mergeCell ref="B255:B278"/>
    <mergeCell ref="Q255:U255"/>
    <mergeCell ref="B143:B166"/>
    <mergeCell ref="AC3:AD3"/>
    <mergeCell ref="B31:B54"/>
    <mergeCell ref="B59:B82"/>
    <mergeCell ref="B87:B110"/>
    <mergeCell ref="B115:B138"/>
    <mergeCell ref="B28:AB28"/>
    <mergeCell ref="B21:B27"/>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10"/>
  <sheetViews>
    <sheetView topLeftCell="A10" workbookViewId="0">
      <selection activeCell="L37" sqref="L37"/>
    </sheetView>
  </sheetViews>
  <sheetFormatPr defaultRowHeight="12.5" x14ac:dyDescent="0.25"/>
  <sheetData>
    <row r="8" spans="2:2" x14ac:dyDescent="0.25">
      <c r="B8" s="8"/>
    </row>
    <row r="9" spans="2:2" x14ac:dyDescent="0.25">
      <c r="B9" s="8"/>
    </row>
    <row r="10" spans="2:2" x14ac:dyDescent="0.25">
      <c r="B10" s="8"/>
    </row>
  </sheetData>
  <sheetProtection password="CF27" sheet="1" objects="1" scenarios="1"/>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AA127"/>
  <sheetViews>
    <sheetView topLeftCell="C10" zoomScaleNormal="100" workbookViewId="0">
      <selection activeCell="E28" sqref="E28"/>
    </sheetView>
  </sheetViews>
  <sheetFormatPr defaultRowHeight="12.5" x14ac:dyDescent="0.25"/>
  <cols>
    <col min="1" max="1" width="16.7265625" customWidth="1"/>
    <col min="5" max="5" width="10.7265625" customWidth="1"/>
    <col min="6" max="6" width="16.54296875" customWidth="1"/>
    <col min="10" max="10" width="10.7265625" customWidth="1"/>
  </cols>
  <sheetData>
    <row r="1" spans="1:27" x14ac:dyDescent="0.25">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row>
    <row r="2" spans="1:27" x14ac:dyDescent="0.25">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row>
    <row r="3" spans="1:27" x14ac:dyDescent="0.25">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row>
    <row r="4" spans="1:27" x14ac:dyDescent="0.25">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row>
    <row r="5" spans="1:27" x14ac:dyDescent="0.25">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row>
    <row r="6" spans="1:27" x14ac:dyDescent="0.25">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row>
    <row r="7" spans="1:27" x14ac:dyDescent="0.25">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1:27" x14ac:dyDescent="0.25">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row>
    <row r="9" spans="1:27"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row>
    <row r="10" spans="1:27" x14ac:dyDescent="0.25">
      <c r="A10" s="127"/>
      <c r="B10" s="127"/>
      <c r="C10" s="127"/>
      <c r="D10" s="127"/>
      <c r="E10" s="127"/>
      <c r="F10" s="182" t="s">
        <v>171</v>
      </c>
      <c r="G10" s="127"/>
      <c r="H10" s="127"/>
      <c r="I10" s="127"/>
      <c r="J10" s="127"/>
      <c r="K10" s="127"/>
      <c r="L10" s="127"/>
      <c r="M10" s="127"/>
      <c r="N10" s="127"/>
      <c r="O10" s="127"/>
      <c r="P10" s="127"/>
      <c r="Q10" s="127"/>
      <c r="R10" s="127"/>
      <c r="S10" s="127"/>
      <c r="T10" s="127"/>
      <c r="U10" s="127"/>
      <c r="V10" s="127"/>
      <c r="W10" s="127"/>
      <c r="X10" s="127"/>
      <c r="Y10" s="127"/>
      <c r="Z10" s="127"/>
      <c r="AA10" s="127"/>
    </row>
    <row r="11" spans="1:27" s="159" customFormat="1" ht="12.75" customHeight="1" x14ac:dyDescent="0.25">
      <c r="A11" s="544" t="s">
        <v>174</v>
      </c>
      <c r="B11" s="544"/>
      <c r="C11" s="153">
        <v>2.1999999999999999E-2</v>
      </c>
      <c r="D11" s="176" t="s">
        <v>167</v>
      </c>
      <c r="E11" s="220"/>
      <c r="F11" s="221">
        <v>2.1000000000000001E-2</v>
      </c>
      <c r="G11" s="220"/>
      <c r="H11" s="220"/>
      <c r="I11" s="220"/>
      <c r="J11" s="220"/>
      <c r="K11" s="220"/>
      <c r="L11" s="220"/>
      <c r="M11" s="220"/>
      <c r="N11" s="220"/>
      <c r="O11" s="220"/>
      <c r="P11" s="220"/>
      <c r="Q11" s="220"/>
      <c r="R11" s="220"/>
      <c r="S11" s="220"/>
      <c r="T11" s="220"/>
      <c r="U11" s="220"/>
      <c r="V11" s="220"/>
      <c r="W11" s="220"/>
      <c r="X11" s="220"/>
      <c r="Y11" s="220"/>
      <c r="Z11" s="220"/>
      <c r="AA11" s="220"/>
    </row>
    <row r="12" spans="1:27" x14ac:dyDescent="0.25">
      <c r="A12" s="544"/>
      <c r="B12" s="544"/>
      <c r="C12" s="160">
        <v>5.0000000000000001E-3</v>
      </c>
      <c r="D12" s="222" t="s">
        <v>165</v>
      </c>
      <c r="E12" s="127"/>
      <c r="F12" s="182">
        <v>5.0000000000000001E-3</v>
      </c>
      <c r="G12" s="127"/>
      <c r="H12" s="127"/>
      <c r="I12" s="127"/>
      <c r="J12" s="127"/>
      <c r="K12" s="127"/>
      <c r="L12" s="127"/>
      <c r="M12" s="127"/>
      <c r="N12" s="127"/>
      <c r="O12" s="127"/>
      <c r="P12" s="127"/>
      <c r="Q12" s="127"/>
      <c r="R12" s="127"/>
      <c r="S12" s="127"/>
      <c r="T12" s="127"/>
      <c r="U12" s="127"/>
      <c r="V12" s="127"/>
      <c r="W12" s="127"/>
      <c r="X12" s="127"/>
      <c r="Y12" s="127"/>
      <c r="Z12" s="127"/>
      <c r="AA12" s="127"/>
    </row>
    <row r="13" spans="1:27" x14ac:dyDescent="0.25">
      <c r="A13" s="544"/>
      <c r="B13" s="544"/>
      <c r="C13" s="231">
        <f>LN(1-C12)</f>
        <v>-5.0125418235442863E-3</v>
      </c>
      <c r="D13" s="127" t="s">
        <v>166</v>
      </c>
      <c r="E13" s="127"/>
      <c r="F13" s="223">
        <f>LN(1-F12)</f>
        <v>-5.0125418235442863E-3</v>
      </c>
      <c r="G13" s="127"/>
      <c r="H13" s="127"/>
      <c r="I13" s="127"/>
      <c r="J13" s="127"/>
      <c r="K13" s="127"/>
      <c r="L13" s="127"/>
      <c r="M13" s="127"/>
      <c r="N13" s="127"/>
      <c r="O13" s="127"/>
      <c r="P13" s="127"/>
      <c r="Q13" s="127"/>
      <c r="R13" s="127"/>
      <c r="S13" s="127"/>
      <c r="T13" s="127"/>
      <c r="U13" s="127"/>
      <c r="V13" s="127"/>
      <c r="W13" s="127"/>
      <c r="X13" s="127"/>
      <c r="Y13" s="127"/>
      <c r="Z13" s="127"/>
      <c r="AA13" s="127"/>
    </row>
    <row r="14" spans="1:27" x14ac:dyDescent="0.25">
      <c r="A14" s="544"/>
      <c r="B14" s="544"/>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5" spans="1:27" x14ac:dyDescent="0.25">
      <c r="A15" s="544"/>
      <c r="B15" s="544"/>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row>
    <row r="16" spans="1:27" x14ac:dyDescent="0.25">
      <c r="A16" s="544"/>
      <c r="B16" s="544"/>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row>
    <row r="17" spans="1:27" ht="37.5" x14ac:dyDescent="0.25">
      <c r="A17" s="127"/>
      <c r="B17" s="127"/>
      <c r="C17" s="175" t="s">
        <v>170</v>
      </c>
      <c r="D17" s="175" t="s">
        <v>168</v>
      </c>
      <c r="E17" s="224" t="s">
        <v>169</v>
      </c>
      <c r="F17" s="224" t="s">
        <v>188</v>
      </c>
      <c r="G17" s="127"/>
      <c r="H17" s="127"/>
      <c r="I17" s="127"/>
      <c r="J17" s="127"/>
      <c r="K17" s="127"/>
      <c r="L17" s="127"/>
      <c r="M17" s="127"/>
      <c r="N17" s="127"/>
      <c r="O17" s="127"/>
      <c r="P17" s="127"/>
      <c r="Q17" s="127"/>
      <c r="R17" s="127"/>
      <c r="S17" s="127"/>
      <c r="T17" s="127"/>
      <c r="U17" s="127"/>
      <c r="V17" s="127"/>
      <c r="W17" s="127"/>
      <c r="X17" s="127"/>
      <c r="Y17" s="127"/>
      <c r="Z17" s="127"/>
      <c r="AA17" s="127"/>
    </row>
    <row r="18" spans="1:27" ht="13" x14ac:dyDescent="0.3">
      <c r="A18" s="127"/>
      <c r="B18" s="127"/>
      <c r="C18" s="127">
        <v>0</v>
      </c>
      <c r="D18" s="127"/>
      <c r="E18" s="127"/>
      <c r="F18" s="179">
        <v>1</v>
      </c>
      <c r="G18" s="127">
        <v>1</v>
      </c>
      <c r="H18" s="225"/>
      <c r="I18" s="225"/>
      <c r="J18" s="127"/>
      <c r="K18" s="127"/>
      <c r="L18" s="127"/>
      <c r="M18" s="127"/>
      <c r="N18" s="127"/>
      <c r="O18" s="127"/>
      <c r="P18" s="127"/>
      <c r="Q18" s="127"/>
      <c r="R18" s="127"/>
      <c r="S18" s="127"/>
      <c r="T18" s="127"/>
      <c r="U18" s="127"/>
      <c r="V18" s="127"/>
      <c r="W18" s="127"/>
      <c r="X18" s="127"/>
      <c r="Y18" s="127"/>
      <c r="Z18" s="127"/>
      <c r="AA18" s="127"/>
    </row>
    <row r="19" spans="1:27" ht="13" x14ac:dyDescent="0.3">
      <c r="A19" s="127"/>
      <c r="B19" s="127"/>
      <c r="C19" s="127">
        <v>1</v>
      </c>
      <c r="D19" s="226">
        <f t="shared" ref="D19:D30" si="0">IF(C19&lt;($J$34+1),$C$11,$C$13)</f>
        <v>2.1999999999999999E-2</v>
      </c>
      <c r="E19" s="125"/>
      <c r="F19" s="227">
        <f>(F18-(F18*E19))*EXP(D19*30)</f>
        <v>1.9347923344020315</v>
      </c>
      <c r="G19" s="127">
        <v>1</v>
      </c>
      <c r="H19" s="225"/>
      <c r="I19" s="225"/>
      <c r="J19" s="127"/>
      <c r="K19" s="127"/>
      <c r="L19" s="127"/>
      <c r="M19" s="127"/>
      <c r="N19" s="127"/>
      <c r="O19" s="127"/>
      <c r="P19" s="127"/>
      <c r="Q19" s="127"/>
      <c r="R19" s="127"/>
      <c r="S19" s="127"/>
      <c r="T19" s="127"/>
      <c r="U19" s="127"/>
      <c r="V19" s="127"/>
      <c r="W19" s="127"/>
      <c r="X19" s="127"/>
      <c r="Y19" s="127"/>
      <c r="Z19" s="127"/>
      <c r="AA19" s="127"/>
    </row>
    <row r="20" spans="1:27" ht="13" x14ac:dyDescent="0.3">
      <c r="A20" s="127"/>
      <c r="B20" s="127"/>
      <c r="C20" s="127">
        <v>2</v>
      </c>
      <c r="D20" s="226">
        <f t="shared" si="0"/>
        <v>2.1999999999999999E-2</v>
      </c>
      <c r="E20" s="125"/>
      <c r="F20" s="227">
        <f>(F19-(F19*E20))*EXP(D20*30)</f>
        <v>3.7434213772608622</v>
      </c>
      <c r="G20" s="127">
        <v>1</v>
      </c>
      <c r="H20" s="225"/>
      <c r="I20" s="225"/>
      <c r="J20" s="127"/>
      <c r="K20" s="127"/>
      <c r="L20" s="127"/>
      <c r="M20" s="127"/>
      <c r="N20" s="127"/>
      <c r="O20" s="127"/>
      <c r="P20" s="127"/>
      <c r="Q20" s="127"/>
      <c r="R20" s="127"/>
      <c r="S20" s="127"/>
      <c r="T20" s="127"/>
      <c r="U20" s="127"/>
      <c r="V20" s="127"/>
      <c r="W20" s="127"/>
      <c r="X20" s="127"/>
      <c r="Y20" s="127"/>
      <c r="Z20" s="127"/>
      <c r="AA20" s="127"/>
    </row>
    <row r="21" spans="1:27" ht="13" x14ac:dyDescent="0.3">
      <c r="A21" s="127"/>
      <c r="B21" s="127"/>
      <c r="C21" s="127">
        <v>3</v>
      </c>
      <c r="D21" s="226">
        <f t="shared" si="0"/>
        <v>2.1999999999999999E-2</v>
      </c>
      <c r="E21" s="125">
        <v>0.75</v>
      </c>
      <c r="F21" s="227">
        <f>(F20-(F20*E21))*EXP(D21*30)</f>
        <v>1.8106857462902528</v>
      </c>
      <c r="G21" s="127">
        <v>1</v>
      </c>
      <c r="H21" s="225"/>
      <c r="I21" s="225"/>
      <c r="J21" s="127"/>
      <c r="K21" s="127"/>
      <c r="L21" s="127"/>
      <c r="M21" s="127"/>
      <c r="N21" s="127"/>
      <c r="O21" s="127"/>
      <c r="P21" s="127"/>
      <c r="Q21" s="127"/>
      <c r="R21" s="127"/>
      <c r="S21" s="127"/>
      <c r="T21" s="127"/>
      <c r="U21" s="127"/>
      <c r="V21" s="127"/>
      <c r="W21" s="127"/>
      <c r="X21" s="127"/>
      <c r="Y21" s="127"/>
      <c r="Z21" s="127"/>
      <c r="AA21" s="127"/>
    </row>
    <row r="22" spans="1:27" ht="13" x14ac:dyDescent="0.3">
      <c r="A22" s="127"/>
      <c r="B22" s="127"/>
      <c r="C22" s="127">
        <v>4</v>
      </c>
      <c r="D22" s="226">
        <f t="shared" si="0"/>
        <v>2.1999999999999999E-2</v>
      </c>
      <c r="E22" s="125"/>
      <c r="F22" s="227">
        <f t="shared" ref="F22:F30" si="1">(F21-(F21*E22))*EXP(D22*30)</f>
        <v>3.5033009019334029</v>
      </c>
      <c r="G22" s="127">
        <v>1</v>
      </c>
      <c r="H22" s="225"/>
      <c r="I22" s="225"/>
      <c r="J22" s="127"/>
      <c r="K22" s="127"/>
      <c r="L22" s="127"/>
      <c r="M22" s="127"/>
      <c r="N22" s="127"/>
      <c r="O22" s="127"/>
      <c r="P22" s="127"/>
      <c r="Q22" s="127"/>
      <c r="R22" s="127"/>
      <c r="S22" s="127"/>
      <c r="T22" s="127"/>
      <c r="U22" s="127"/>
      <c r="V22" s="127"/>
      <c r="W22" s="127"/>
      <c r="X22" s="127"/>
      <c r="Y22" s="127"/>
      <c r="Z22" s="127"/>
      <c r="AA22" s="127"/>
    </row>
    <row r="23" spans="1:27" ht="13" x14ac:dyDescent="0.3">
      <c r="A23" s="127"/>
      <c r="B23" s="127"/>
      <c r="C23" s="127">
        <v>5</v>
      </c>
      <c r="D23" s="226">
        <f t="shared" si="0"/>
        <v>2.1999999999999999E-2</v>
      </c>
      <c r="E23" s="125"/>
      <c r="F23" s="227">
        <f t="shared" si="1"/>
        <v>6.7781597301644707</v>
      </c>
      <c r="G23" s="127">
        <v>1</v>
      </c>
      <c r="H23" s="225"/>
      <c r="I23" s="225"/>
      <c r="J23" s="127"/>
      <c r="K23" s="127"/>
      <c r="L23" s="127"/>
      <c r="M23" s="127"/>
      <c r="N23" s="127"/>
      <c r="O23" s="127"/>
      <c r="P23" s="127"/>
      <c r="Q23" s="127"/>
      <c r="R23" s="127"/>
      <c r="S23" s="127"/>
      <c r="T23" s="127"/>
      <c r="U23" s="127"/>
      <c r="V23" s="127"/>
      <c r="W23" s="127"/>
      <c r="X23" s="127"/>
      <c r="Y23" s="127"/>
      <c r="Z23" s="127"/>
      <c r="AA23" s="127"/>
    </row>
    <row r="24" spans="1:27" ht="13" x14ac:dyDescent="0.3">
      <c r="A24" s="127"/>
      <c r="B24" s="127"/>
      <c r="C24" s="127">
        <v>6</v>
      </c>
      <c r="D24" s="226">
        <f t="shared" si="0"/>
        <v>2.1999999999999999E-2</v>
      </c>
      <c r="E24" s="125"/>
      <c r="F24" s="227">
        <f t="shared" si="1"/>
        <v>13.114331487274759</v>
      </c>
      <c r="G24" s="127">
        <v>1</v>
      </c>
      <c r="H24" s="225"/>
      <c r="I24" s="225"/>
      <c r="J24" s="127"/>
      <c r="K24" s="127"/>
      <c r="L24" s="127"/>
      <c r="M24" s="127"/>
      <c r="N24" s="127"/>
      <c r="O24" s="127"/>
      <c r="P24" s="127"/>
      <c r="Q24" s="127"/>
      <c r="R24" s="127"/>
      <c r="S24" s="127"/>
      <c r="T24" s="127"/>
      <c r="U24" s="127"/>
      <c r="V24" s="127"/>
      <c r="W24" s="127"/>
      <c r="X24" s="127"/>
      <c r="Y24" s="127"/>
      <c r="Z24" s="127"/>
      <c r="AA24" s="127"/>
    </row>
    <row r="25" spans="1:27" ht="13" x14ac:dyDescent="0.3">
      <c r="A25" s="127"/>
      <c r="B25" s="127"/>
      <c r="C25" s="127">
        <v>7</v>
      </c>
      <c r="D25" s="226">
        <f t="shared" si="0"/>
        <v>2.1999999999999999E-2</v>
      </c>
      <c r="E25" s="125">
        <v>0.9</v>
      </c>
      <c r="F25" s="227">
        <f t="shared" si="1"/>
        <v>2.5373508032386392</v>
      </c>
      <c r="G25" s="127">
        <v>1</v>
      </c>
      <c r="H25" s="225"/>
      <c r="I25" s="225"/>
      <c r="J25" s="127"/>
      <c r="K25" s="127"/>
      <c r="L25" s="127"/>
      <c r="M25" s="127"/>
      <c r="N25" s="127"/>
      <c r="O25" s="127"/>
      <c r="P25" s="127"/>
      <c r="Q25" s="127"/>
      <c r="R25" s="127"/>
      <c r="S25" s="127"/>
      <c r="T25" s="127"/>
      <c r="U25" s="127"/>
      <c r="V25" s="127"/>
      <c r="W25" s="127"/>
      <c r="X25" s="127"/>
      <c r="Y25" s="127"/>
      <c r="Z25" s="127"/>
      <c r="AA25" s="127"/>
    </row>
    <row r="26" spans="1:27" ht="13" x14ac:dyDescent="0.3">
      <c r="A26" s="127"/>
      <c r="B26" s="127"/>
      <c r="C26" s="127">
        <v>8</v>
      </c>
      <c r="D26" s="226">
        <f t="shared" si="0"/>
        <v>2.1999999999999999E-2</v>
      </c>
      <c r="E26" s="125"/>
      <c r="F26" s="227">
        <f t="shared" si="1"/>
        <v>4.9092468837949559</v>
      </c>
      <c r="G26" s="127">
        <v>1</v>
      </c>
      <c r="H26" s="225"/>
      <c r="I26" s="225"/>
      <c r="J26" s="127"/>
      <c r="K26" s="127"/>
      <c r="L26" s="127"/>
      <c r="M26" s="127"/>
      <c r="N26" s="127"/>
      <c r="O26" s="127"/>
      <c r="P26" s="127"/>
      <c r="Q26" s="127"/>
      <c r="R26" s="127"/>
      <c r="S26" s="127"/>
      <c r="T26" s="127"/>
      <c r="U26" s="127"/>
      <c r="V26" s="127"/>
      <c r="W26" s="127"/>
      <c r="X26" s="127"/>
      <c r="Y26" s="127"/>
      <c r="Z26" s="127"/>
      <c r="AA26" s="127"/>
    </row>
    <row r="27" spans="1:27" ht="13" x14ac:dyDescent="0.3">
      <c r="A27" s="127"/>
      <c r="B27" s="127"/>
      <c r="C27" s="127">
        <v>9</v>
      </c>
      <c r="D27" s="226">
        <f t="shared" si="0"/>
        <v>2.1999999999999999E-2</v>
      </c>
      <c r="E27" s="125">
        <v>0.9</v>
      </c>
      <c r="F27" s="227">
        <f t="shared" si="1"/>
        <v>0.94983732384535358</v>
      </c>
      <c r="G27" s="127">
        <v>1</v>
      </c>
      <c r="H27" s="225"/>
      <c r="I27" s="225"/>
      <c r="J27" s="127"/>
      <c r="K27" s="127"/>
      <c r="L27" s="127"/>
      <c r="M27" s="127"/>
      <c r="N27" s="127"/>
      <c r="O27" s="127"/>
      <c r="P27" s="127"/>
      <c r="Q27" s="127"/>
      <c r="R27" s="127"/>
      <c r="S27" s="127"/>
      <c r="T27" s="127"/>
      <c r="U27" s="127"/>
      <c r="V27" s="127"/>
      <c r="W27" s="127"/>
      <c r="X27" s="127"/>
      <c r="Y27" s="127"/>
      <c r="Z27" s="127"/>
      <c r="AA27" s="127"/>
    </row>
    <row r="28" spans="1:27" ht="13" x14ac:dyDescent="0.3">
      <c r="A28" s="127"/>
      <c r="B28" s="127"/>
      <c r="C28" s="127">
        <v>10</v>
      </c>
      <c r="D28" s="226">
        <f t="shared" si="0"/>
        <v>2.1999999999999999E-2</v>
      </c>
      <c r="E28" s="125"/>
      <c r="F28" s="227">
        <f>(F27-(F27*E28))*EXP(D28*30)</f>
        <v>1.8377379731049299</v>
      </c>
      <c r="G28" s="127">
        <v>1</v>
      </c>
      <c r="H28" s="225"/>
      <c r="I28" s="225"/>
      <c r="J28" s="127"/>
      <c r="K28" s="127"/>
      <c r="L28" s="127"/>
      <c r="M28" s="127"/>
      <c r="N28" s="127"/>
      <c r="O28" s="127"/>
      <c r="P28" s="127"/>
      <c r="Q28" s="127"/>
      <c r="R28" s="127"/>
      <c r="S28" s="127"/>
      <c r="T28" s="127"/>
      <c r="U28" s="127"/>
      <c r="V28" s="127"/>
      <c r="W28" s="127"/>
      <c r="X28" s="127"/>
      <c r="Y28" s="127"/>
      <c r="Z28" s="127"/>
      <c r="AA28" s="127"/>
    </row>
    <row r="29" spans="1:27" ht="13.5" thickBot="1" x14ac:dyDescent="0.35">
      <c r="A29" s="127"/>
      <c r="B29" s="127"/>
      <c r="C29" s="127">
        <v>11</v>
      </c>
      <c r="D29" s="226">
        <f t="shared" si="0"/>
        <v>-5.0125418235442863E-3</v>
      </c>
      <c r="E29" s="125"/>
      <c r="F29" s="228">
        <f t="shared" si="1"/>
        <v>1.5811607009408366</v>
      </c>
      <c r="G29" s="127">
        <v>1</v>
      </c>
      <c r="H29" s="225"/>
      <c r="I29" s="225"/>
      <c r="J29" s="127"/>
      <c r="K29" s="127"/>
      <c r="L29" s="127"/>
      <c r="M29" s="127"/>
      <c r="N29" s="127"/>
      <c r="O29" s="127"/>
      <c r="P29" s="127"/>
      <c r="Q29" s="127"/>
      <c r="R29" s="127"/>
      <c r="S29" s="127"/>
      <c r="T29" s="127"/>
      <c r="U29" s="127"/>
      <c r="V29" s="127"/>
      <c r="W29" s="127"/>
      <c r="X29" s="127"/>
      <c r="Y29" s="127"/>
      <c r="Z29" s="127"/>
      <c r="AA29" s="127"/>
    </row>
    <row r="30" spans="1:27" ht="14" thickTop="1" thickBot="1" x14ac:dyDescent="0.35">
      <c r="A30" s="127"/>
      <c r="B30" s="127"/>
      <c r="C30" s="127">
        <v>12</v>
      </c>
      <c r="D30" s="226">
        <f t="shared" si="0"/>
        <v>-5.0125418235442863E-3</v>
      </c>
      <c r="E30" s="173"/>
      <c r="F30" s="229">
        <f t="shared" si="1"/>
        <v>1.3604056719662561</v>
      </c>
      <c r="G30" s="230">
        <v>1</v>
      </c>
      <c r="H30" s="225"/>
      <c r="I30" s="225"/>
      <c r="J30" s="127"/>
      <c r="K30" s="127"/>
      <c r="L30" s="127"/>
      <c r="M30" s="127"/>
      <c r="N30" s="127"/>
      <c r="O30" s="127"/>
      <c r="P30" s="127"/>
      <c r="Q30" s="127"/>
      <c r="R30" s="127"/>
      <c r="S30" s="127"/>
      <c r="T30" s="127"/>
      <c r="U30" s="127"/>
      <c r="V30" s="127"/>
      <c r="W30" s="127"/>
      <c r="X30" s="127"/>
      <c r="Y30" s="127"/>
      <c r="Z30" s="127"/>
      <c r="AA30" s="127"/>
    </row>
    <row r="31" spans="1:27" ht="12.65" customHeight="1" thickTop="1" x14ac:dyDescent="0.25">
      <c r="A31" s="127"/>
      <c r="B31" s="127"/>
      <c r="C31" s="127"/>
      <c r="D31" s="127"/>
      <c r="E31" s="540" t="s">
        <v>172</v>
      </c>
      <c r="F31" s="545" t="s">
        <v>189</v>
      </c>
      <c r="G31" s="127"/>
      <c r="H31" s="127"/>
      <c r="I31" s="127"/>
      <c r="J31" s="127"/>
      <c r="K31" s="127"/>
      <c r="L31" s="127"/>
      <c r="M31" s="127"/>
      <c r="N31" s="127"/>
      <c r="O31" s="127"/>
      <c r="P31" s="127"/>
      <c r="Q31" s="127"/>
      <c r="R31" s="127"/>
      <c r="S31" s="127"/>
      <c r="T31" s="127"/>
      <c r="U31" s="127"/>
      <c r="V31" s="127"/>
      <c r="W31" s="127"/>
      <c r="X31" s="127"/>
      <c r="Y31" s="127"/>
      <c r="Z31" s="127"/>
      <c r="AA31" s="127"/>
    </row>
    <row r="32" spans="1:27" ht="12.65" customHeight="1" x14ac:dyDescent="0.25">
      <c r="A32" s="127"/>
      <c r="B32" s="127"/>
      <c r="C32" s="127"/>
      <c r="D32" s="127"/>
      <c r="E32" s="541"/>
      <c r="F32" s="545"/>
      <c r="G32" s="127"/>
      <c r="H32" s="127"/>
      <c r="I32" s="127"/>
      <c r="J32" s="127"/>
      <c r="K32" s="127"/>
      <c r="L32" s="127"/>
      <c r="M32" s="127"/>
      <c r="N32" s="127"/>
      <c r="O32" s="127"/>
      <c r="P32" s="127"/>
      <c r="Q32" s="127"/>
      <c r="R32" s="127"/>
      <c r="S32" s="127"/>
      <c r="T32" s="127"/>
      <c r="U32" s="127"/>
      <c r="V32" s="127"/>
      <c r="W32" s="127"/>
      <c r="X32" s="127"/>
      <c r="Y32" s="127"/>
      <c r="Z32" s="127"/>
      <c r="AA32" s="127"/>
    </row>
    <row r="33" spans="1:27" ht="12.65" customHeight="1" x14ac:dyDescent="0.25">
      <c r="A33" s="127"/>
      <c r="B33" s="127"/>
      <c r="C33" s="127"/>
      <c r="D33" s="127"/>
      <c r="E33" s="541"/>
      <c r="F33" s="545"/>
      <c r="G33" s="127"/>
      <c r="H33" s="127"/>
      <c r="I33" s="127"/>
      <c r="J33" s="127"/>
      <c r="K33" s="127"/>
      <c r="L33" s="127"/>
      <c r="M33" s="127"/>
      <c r="N33" s="127"/>
      <c r="O33" s="127"/>
      <c r="P33" s="127"/>
      <c r="Q33" s="127"/>
      <c r="R33" s="127"/>
      <c r="S33" s="127"/>
      <c r="T33" s="127"/>
      <c r="U33" s="127"/>
      <c r="V33" s="127"/>
      <c r="W33" s="127"/>
      <c r="X33" s="127"/>
      <c r="Y33" s="127"/>
      <c r="Z33" s="127"/>
      <c r="AA33" s="127"/>
    </row>
    <row r="34" spans="1:27" ht="13" x14ac:dyDescent="0.3">
      <c r="A34" s="127"/>
      <c r="B34" s="127"/>
      <c r="C34" s="127"/>
      <c r="D34" s="127"/>
      <c r="E34" s="541"/>
      <c r="F34" s="545"/>
      <c r="G34" s="127"/>
      <c r="H34" s="127"/>
      <c r="I34" s="127"/>
      <c r="J34" s="114">
        <v>9.5</v>
      </c>
      <c r="K34" s="127" t="s">
        <v>164</v>
      </c>
      <c r="L34" s="127"/>
      <c r="M34" s="127"/>
      <c r="N34" s="127"/>
      <c r="O34" s="127"/>
      <c r="P34" s="127"/>
      <c r="Q34" s="127"/>
      <c r="R34" s="127"/>
      <c r="S34" s="127"/>
      <c r="T34" s="127"/>
      <c r="U34" s="127"/>
      <c r="V34" s="127"/>
      <c r="W34" s="127"/>
      <c r="X34" s="127"/>
      <c r="Y34" s="127"/>
      <c r="Z34" s="127"/>
      <c r="AA34" s="127"/>
    </row>
    <row r="35" spans="1:27" ht="12.65" customHeight="1" x14ac:dyDescent="0.25">
      <c r="A35" s="127"/>
      <c r="B35" s="127"/>
      <c r="C35" s="127"/>
      <c r="D35" s="127"/>
      <c r="E35" s="541"/>
      <c r="F35" s="545"/>
      <c r="G35" s="127"/>
      <c r="H35" s="127"/>
      <c r="I35" s="127"/>
      <c r="J35" s="542" t="s">
        <v>173</v>
      </c>
      <c r="K35" s="127"/>
      <c r="L35" s="127"/>
      <c r="M35" s="127"/>
      <c r="N35" s="127"/>
      <c r="O35" s="127"/>
      <c r="P35" s="127"/>
      <c r="Q35" s="127"/>
      <c r="R35" s="127"/>
      <c r="S35" s="127"/>
      <c r="T35" s="127"/>
      <c r="U35" s="127"/>
      <c r="V35" s="127"/>
      <c r="W35" s="127"/>
      <c r="X35" s="127"/>
      <c r="Y35" s="127"/>
      <c r="Z35" s="127"/>
      <c r="AA35" s="127"/>
    </row>
    <row r="36" spans="1:27" ht="12.65" customHeight="1" x14ac:dyDescent="0.25">
      <c r="A36" s="127"/>
      <c r="B36" s="127"/>
      <c r="C36" s="127"/>
      <c r="D36" s="127"/>
      <c r="E36" s="541"/>
      <c r="F36" s="545"/>
      <c r="G36" s="127"/>
      <c r="H36" s="127"/>
      <c r="I36" s="127"/>
      <c r="J36" s="543"/>
      <c r="K36" s="127"/>
      <c r="L36" s="127"/>
      <c r="M36" s="127"/>
      <c r="N36" s="127"/>
      <c r="O36" s="127"/>
      <c r="P36" s="127"/>
      <c r="Q36" s="127"/>
      <c r="R36" s="127"/>
      <c r="S36" s="127"/>
      <c r="T36" s="127"/>
      <c r="U36" s="127"/>
      <c r="V36" s="127"/>
      <c r="W36" s="127"/>
      <c r="X36" s="127"/>
      <c r="Y36" s="127"/>
      <c r="Z36" s="127"/>
      <c r="AA36" s="127"/>
    </row>
    <row r="37" spans="1:27" ht="12.65" customHeight="1" x14ac:dyDescent="0.25">
      <c r="A37" s="127"/>
      <c r="B37" s="127"/>
      <c r="C37" s="127"/>
      <c r="D37" s="127"/>
      <c r="E37" s="541"/>
      <c r="F37" s="545"/>
      <c r="G37" s="127"/>
      <c r="H37" s="127"/>
      <c r="I37" s="127"/>
      <c r="J37" s="543"/>
      <c r="K37" s="127"/>
      <c r="L37" s="127"/>
      <c r="M37" s="127"/>
      <c r="N37" s="127"/>
      <c r="O37" s="127"/>
      <c r="P37" s="127"/>
      <c r="Q37" s="127"/>
      <c r="R37" s="127"/>
      <c r="S37" s="127"/>
      <c r="T37" s="127"/>
      <c r="U37" s="127"/>
      <c r="V37" s="127"/>
      <c r="W37" s="127"/>
      <c r="X37" s="127"/>
      <c r="Y37" s="127"/>
      <c r="Z37" s="127"/>
      <c r="AA37" s="127"/>
    </row>
    <row r="38" spans="1:27" x14ac:dyDescent="0.25">
      <c r="A38" s="127"/>
      <c r="B38" s="127"/>
      <c r="C38" s="127"/>
      <c r="D38" s="127"/>
      <c r="E38" s="127"/>
      <c r="F38" s="127"/>
      <c r="G38" s="127"/>
      <c r="H38" s="127"/>
      <c r="I38" s="127"/>
      <c r="J38" s="543"/>
      <c r="K38" s="127"/>
      <c r="L38" s="127"/>
      <c r="M38" s="127"/>
      <c r="N38" s="127"/>
      <c r="O38" s="127"/>
      <c r="P38" s="127"/>
      <c r="Q38" s="127"/>
      <c r="R38" s="127"/>
      <c r="S38" s="127"/>
      <c r="T38" s="127"/>
      <c r="U38" s="127"/>
      <c r="V38" s="127"/>
      <c r="W38" s="127"/>
      <c r="X38" s="127"/>
      <c r="Y38" s="127"/>
      <c r="Z38" s="127"/>
      <c r="AA38" s="127"/>
    </row>
    <row r="39" spans="1:27" x14ac:dyDescent="0.25">
      <c r="A39" s="127"/>
      <c r="B39" s="127"/>
      <c r="C39" s="127"/>
      <c r="D39" s="127"/>
      <c r="E39" s="127"/>
      <c r="F39" s="127"/>
      <c r="G39" s="127"/>
      <c r="H39" s="127"/>
      <c r="I39" s="127"/>
      <c r="J39" s="543"/>
      <c r="K39" s="127"/>
      <c r="L39" s="127"/>
      <c r="M39" s="127"/>
      <c r="N39" s="127"/>
      <c r="O39" s="127"/>
      <c r="P39" s="127"/>
      <c r="Q39" s="127"/>
      <c r="R39" s="127"/>
      <c r="S39" s="127"/>
      <c r="T39" s="127"/>
      <c r="U39" s="127"/>
      <c r="V39" s="127"/>
      <c r="W39" s="127"/>
      <c r="X39" s="127"/>
      <c r="Y39" s="127"/>
      <c r="Z39" s="127"/>
      <c r="AA39" s="127"/>
    </row>
    <row r="40" spans="1:27" x14ac:dyDescent="0.25">
      <c r="A40" s="127"/>
      <c r="B40" s="127"/>
      <c r="C40" s="127"/>
      <c r="D40" s="127"/>
      <c r="E40" s="127"/>
      <c r="F40" s="127"/>
      <c r="G40" s="127"/>
      <c r="H40" s="127"/>
      <c r="I40" s="127"/>
      <c r="J40" s="543"/>
      <c r="K40" s="127"/>
      <c r="L40" s="127"/>
      <c r="M40" s="127"/>
      <c r="N40" s="127"/>
      <c r="O40" s="127"/>
      <c r="P40" s="127"/>
      <c r="Q40" s="127"/>
      <c r="R40" s="127"/>
      <c r="S40" s="127"/>
      <c r="T40" s="127"/>
      <c r="U40" s="127"/>
      <c r="V40" s="127"/>
      <c r="W40" s="127"/>
      <c r="X40" s="127"/>
      <c r="Y40" s="127"/>
      <c r="Z40" s="127"/>
      <c r="AA40" s="127"/>
    </row>
    <row r="41" spans="1:27" ht="13" x14ac:dyDescent="0.3">
      <c r="A41" s="193" t="s">
        <v>190</v>
      </c>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row>
    <row r="42" spans="1:27" x14ac:dyDescent="0.25">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row>
    <row r="43" spans="1:27" x14ac:dyDescent="0.25">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row>
    <row r="44" spans="1:27" x14ac:dyDescent="0.25">
      <c r="A44" s="127"/>
      <c r="B44" s="127"/>
      <c r="C44" s="127"/>
      <c r="D44" s="127"/>
      <c r="E44" s="232">
        <v>5.0000000000000001E-3</v>
      </c>
      <c r="F44" s="538" t="s">
        <v>193</v>
      </c>
      <c r="G44" s="539"/>
      <c r="H44" s="539"/>
      <c r="I44" s="539"/>
      <c r="J44" s="539"/>
      <c r="K44" s="539"/>
      <c r="L44" s="539"/>
      <c r="M44" s="539"/>
      <c r="N44" s="127"/>
      <c r="O44" s="127"/>
      <c r="P44" s="127"/>
      <c r="Q44" s="127"/>
      <c r="R44" s="127"/>
      <c r="S44" s="127"/>
      <c r="T44" s="127"/>
      <c r="U44" s="127"/>
      <c r="V44" s="127"/>
      <c r="W44" s="127"/>
      <c r="X44" s="127"/>
      <c r="Y44" s="127"/>
      <c r="Z44" s="127"/>
      <c r="AA44" s="127"/>
    </row>
    <row r="45" spans="1:27" x14ac:dyDescent="0.25">
      <c r="A45" s="127"/>
      <c r="B45" s="546" t="s">
        <v>320</v>
      </c>
      <c r="C45" s="546"/>
      <c r="D45" s="127"/>
      <c r="E45" s="127"/>
      <c r="F45" s="537" t="s">
        <v>192</v>
      </c>
      <c r="G45" s="537"/>
      <c r="H45" s="537"/>
      <c r="I45" s="537"/>
      <c r="J45" s="537"/>
      <c r="K45" s="537"/>
      <c r="L45" s="127"/>
      <c r="M45" s="127"/>
      <c r="N45" s="127"/>
      <c r="O45" s="127"/>
      <c r="P45" s="127"/>
      <c r="Q45" s="127"/>
      <c r="R45" s="127"/>
      <c r="S45" s="127"/>
      <c r="T45" s="127"/>
      <c r="U45" s="127"/>
      <c r="V45" s="127"/>
      <c r="W45" s="127"/>
      <c r="X45" s="127"/>
      <c r="Y45" s="127"/>
      <c r="Z45" s="127"/>
      <c r="AA45" s="127"/>
    </row>
    <row r="46" spans="1:27" x14ac:dyDescent="0.25">
      <c r="A46" s="127"/>
      <c r="B46" s="345" t="s">
        <v>318</v>
      </c>
      <c r="C46" s="345" t="s">
        <v>319</v>
      </c>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row>
    <row r="47" spans="1:27" ht="13" x14ac:dyDescent="0.3">
      <c r="A47" s="127"/>
      <c r="B47" s="206">
        <v>0</v>
      </c>
      <c r="C47" s="347">
        <v>100</v>
      </c>
      <c r="D47" s="127"/>
      <c r="E47" s="127"/>
      <c r="F47" s="127"/>
      <c r="G47" s="127"/>
      <c r="H47" s="127"/>
      <c r="I47" s="127"/>
      <c r="J47" s="127"/>
      <c r="K47" s="127"/>
      <c r="L47" s="127"/>
      <c r="M47" s="127"/>
      <c r="N47" s="127"/>
      <c r="O47" s="127"/>
      <c r="P47" s="225"/>
      <c r="Q47" s="127"/>
      <c r="R47" s="127"/>
      <c r="S47" s="127"/>
      <c r="T47" s="127"/>
      <c r="U47" s="127"/>
      <c r="V47" s="127"/>
      <c r="W47" s="127"/>
      <c r="X47" s="127"/>
      <c r="Y47" s="127"/>
      <c r="Z47" s="127"/>
      <c r="AA47" s="127"/>
    </row>
    <row r="48" spans="1:27" x14ac:dyDescent="0.25">
      <c r="A48" s="127"/>
      <c r="B48" s="206">
        <f t="shared" ref="B48:B67" si="2">B47+15</f>
        <v>15</v>
      </c>
      <c r="C48" s="346">
        <f>C47*EXP(-$E$44*15)</f>
        <v>92.774348632855279</v>
      </c>
      <c r="D48" s="127"/>
      <c r="E48" s="127"/>
      <c r="F48" s="127"/>
      <c r="G48" s="127"/>
      <c r="H48" s="127"/>
      <c r="I48" s="127"/>
      <c r="J48" s="127"/>
      <c r="K48" s="127"/>
      <c r="L48" s="127"/>
      <c r="M48" s="127"/>
      <c r="N48" s="127"/>
      <c r="O48" s="127"/>
      <c r="P48" s="225"/>
      <c r="Q48" s="127"/>
      <c r="R48" s="127"/>
      <c r="S48" s="127"/>
      <c r="T48" s="127"/>
      <c r="U48" s="127"/>
      <c r="V48" s="127"/>
      <c r="W48" s="127"/>
      <c r="X48" s="127"/>
      <c r="Y48" s="127"/>
      <c r="Z48" s="127"/>
      <c r="AA48" s="127"/>
    </row>
    <row r="49" spans="1:27" x14ac:dyDescent="0.25">
      <c r="A49" s="127"/>
      <c r="B49" s="206">
        <f t="shared" si="2"/>
        <v>30</v>
      </c>
      <c r="C49" s="346">
        <f t="shared" ref="C49:C67" si="3">C48*EXP(-$E$44*15)</f>
        <v>86.070797642505767</v>
      </c>
      <c r="D49" s="127"/>
      <c r="E49" s="127"/>
      <c r="F49" s="127"/>
      <c r="G49" s="127"/>
      <c r="H49" s="127"/>
      <c r="I49" s="127"/>
      <c r="J49" s="127"/>
      <c r="K49" s="127"/>
      <c r="L49" s="127"/>
      <c r="M49" s="127"/>
      <c r="N49" s="127"/>
      <c r="O49" s="127"/>
      <c r="P49" s="225"/>
      <c r="Q49" s="127"/>
      <c r="R49" s="127"/>
      <c r="S49" s="127"/>
      <c r="T49" s="127"/>
      <c r="U49" s="127"/>
      <c r="V49" s="127"/>
      <c r="W49" s="127"/>
      <c r="X49" s="127"/>
      <c r="Y49" s="127"/>
      <c r="Z49" s="127"/>
      <c r="AA49" s="127"/>
    </row>
    <row r="50" spans="1:27" x14ac:dyDescent="0.25">
      <c r="A50" s="127"/>
      <c r="B50" s="206">
        <f t="shared" si="2"/>
        <v>45</v>
      </c>
      <c r="C50" s="346">
        <f t="shared" si="3"/>
        <v>79.851621875937681</v>
      </c>
      <c r="D50" s="127"/>
      <c r="E50" s="127"/>
      <c r="F50" s="127"/>
      <c r="G50" s="127"/>
      <c r="H50" s="127"/>
      <c r="I50" s="127"/>
      <c r="J50" s="127"/>
      <c r="K50" s="127"/>
      <c r="L50" s="127"/>
      <c r="M50" s="127"/>
      <c r="N50" s="127"/>
      <c r="O50" s="127"/>
      <c r="P50" s="225"/>
      <c r="Q50" s="127"/>
      <c r="R50" s="127"/>
      <c r="S50" s="127"/>
      <c r="T50" s="127"/>
      <c r="U50" s="127"/>
      <c r="V50" s="127"/>
      <c r="W50" s="127"/>
      <c r="X50" s="127"/>
      <c r="Y50" s="127"/>
      <c r="Z50" s="127"/>
      <c r="AA50" s="127"/>
    </row>
    <row r="51" spans="1:27" x14ac:dyDescent="0.25">
      <c r="A51" s="127"/>
      <c r="B51" s="206">
        <f t="shared" si="2"/>
        <v>60</v>
      </c>
      <c r="C51" s="346">
        <f t="shared" si="3"/>
        <v>74.081822068171761</v>
      </c>
      <c r="D51" s="127"/>
      <c r="E51" s="127"/>
      <c r="F51" s="127"/>
      <c r="G51" s="127"/>
      <c r="H51" s="127"/>
      <c r="I51" s="127"/>
      <c r="J51" s="127"/>
      <c r="K51" s="127"/>
      <c r="L51" s="127"/>
      <c r="M51" s="127"/>
      <c r="N51" s="127"/>
      <c r="O51" s="127"/>
      <c r="P51" s="225"/>
      <c r="Q51" s="127"/>
      <c r="R51" s="127"/>
      <c r="S51" s="127"/>
      <c r="T51" s="127"/>
      <c r="U51" s="127"/>
      <c r="V51" s="127"/>
      <c r="W51" s="127"/>
      <c r="X51" s="127"/>
      <c r="Y51" s="127"/>
      <c r="Z51" s="127"/>
      <c r="AA51" s="127"/>
    </row>
    <row r="52" spans="1:27" x14ac:dyDescent="0.25">
      <c r="A52" s="127"/>
      <c r="B52" s="206">
        <f t="shared" si="2"/>
        <v>75</v>
      </c>
      <c r="C52" s="346">
        <f t="shared" si="3"/>
        <v>68.728927879097199</v>
      </c>
      <c r="D52" s="127"/>
      <c r="E52" s="127"/>
      <c r="F52" s="127"/>
      <c r="G52" s="127"/>
      <c r="H52" s="127"/>
      <c r="I52" s="127"/>
      <c r="J52" s="127"/>
      <c r="K52" s="127"/>
      <c r="L52" s="127"/>
      <c r="M52" s="127"/>
      <c r="N52" s="127"/>
      <c r="O52" s="127"/>
      <c r="P52" s="225"/>
      <c r="Q52" s="127"/>
      <c r="R52" s="127"/>
      <c r="S52" s="127"/>
      <c r="T52" s="127"/>
      <c r="U52" s="127"/>
      <c r="V52" s="127"/>
      <c r="W52" s="127"/>
      <c r="X52" s="127"/>
      <c r="Y52" s="127"/>
      <c r="Z52" s="127"/>
      <c r="AA52" s="127"/>
    </row>
    <row r="53" spans="1:27" x14ac:dyDescent="0.25">
      <c r="A53" s="127"/>
      <c r="B53" s="206">
        <f t="shared" si="2"/>
        <v>90</v>
      </c>
      <c r="C53" s="346">
        <f t="shared" si="3"/>
        <v>63.762815162177304</v>
      </c>
      <c r="D53" s="127"/>
      <c r="E53" s="127"/>
      <c r="F53" s="127"/>
      <c r="G53" s="127"/>
      <c r="H53" s="127"/>
      <c r="I53" s="127"/>
      <c r="J53" s="127"/>
      <c r="K53" s="127"/>
      <c r="L53" s="127"/>
      <c r="M53" s="127"/>
      <c r="N53" s="127"/>
      <c r="O53" s="127"/>
      <c r="P53" s="225"/>
      <c r="Q53" s="127"/>
      <c r="R53" s="127"/>
      <c r="S53" s="127"/>
      <c r="T53" s="127"/>
      <c r="U53" s="127"/>
      <c r="V53" s="127"/>
      <c r="W53" s="127"/>
      <c r="X53" s="127"/>
      <c r="Y53" s="127"/>
      <c r="Z53" s="127"/>
      <c r="AA53" s="127"/>
    </row>
    <row r="54" spans="1:27" x14ac:dyDescent="0.25">
      <c r="A54" s="127"/>
      <c r="B54" s="206">
        <f t="shared" si="2"/>
        <v>105</v>
      </c>
      <c r="C54" s="346">
        <f t="shared" si="3"/>
        <v>59.15553643668148</v>
      </c>
      <c r="D54" s="127"/>
      <c r="E54" s="127"/>
      <c r="F54" s="127"/>
      <c r="G54" s="127"/>
      <c r="H54" s="127"/>
      <c r="I54" s="127"/>
      <c r="J54" s="127"/>
      <c r="K54" s="127"/>
      <c r="L54" s="127"/>
      <c r="M54" s="127"/>
      <c r="N54" s="127"/>
      <c r="O54" s="127"/>
      <c r="P54" s="225"/>
      <c r="Q54" s="127"/>
      <c r="R54" s="127"/>
      <c r="S54" s="127"/>
      <c r="T54" s="127"/>
      <c r="U54" s="127"/>
      <c r="V54" s="127"/>
      <c r="W54" s="127"/>
      <c r="X54" s="127"/>
      <c r="Y54" s="127"/>
      <c r="Z54" s="127"/>
      <c r="AA54" s="127"/>
    </row>
    <row r="55" spans="1:27" x14ac:dyDescent="0.25">
      <c r="A55" s="127"/>
      <c r="B55" s="206">
        <f t="shared" si="2"/>
        <v>120</v>
      </c>
      <c r="C55" s="346">
        <f t="shared" si="3"/>
        <v>54.881163609402613</v>
      </c>
      <c r="D55" s="127"/>
      <c r="E55" s="127"/>
      <c r="F55" s="127"/>
      <c r="G55" s="127"/>
      <c r="H55" s="127"/>
      <c r="I55" s="127"/>
      <c r="J55" s="127"/>
      <c r="K55" s="127"/>
      <c r="L55" s="127"/>
      <c r="M55" s="127"/>
      <c r="N55" s="127"/>
      <c r="O55" s="127"/>
      <c r="P55" s="225"/>
      <c r="Q55" s="127"/>
      <c r="R55" s="127"/>
      <c r="S55" s="127"/>
      <c r="T55" s="127"/>
      <c r="U55" s="127"/>
      <c r="V55" s="127"/>
      <c r="W55" s="127"/>
      <c r="X55" s="127"/>
      <c r="Y55" s="127"/>
      <c r="Z55" s="127"/>
      <c r="AA55" s="127"/>
    </row>
    <row r="56" spans="1:27" x14ac:dyDescent="0.25">
      <c r="A56" s="127"/>
      <c r="B56" s="206">
        <f t="shared" si="2"/>
        <v>135</v>
      </c>
      <c r="C56" s="346">
        <f t="shared" si="3"/>
        <v>50.915642060754884</v>
      </c>
      <c r="D56" s="127"/>
      <c r="E56" s="127"/>
      <c r="F56" s="127"/>
      <c r="G56" s="127"/>
      <c r="H56" s="127"/>
      <c r="I56" s="127"/>
      <c r="J56" s="127"/>
      <c r="K56" s="127"/>
      <c r="L56" s="127"/>
      <c r="M56" s="127"/>
      <c r="N56" s="127"/>
      <c r="O56" s="127"/>
      <c r="P56" s="225"/>
      <c r="Q56" s="127"/>
      <c r="R56" s="127"/>
      <c r="S56" s="127"/>
      <c r="T56" s="127"/>
      <c r="U56" s="127"/>
      <c r="V56" s="127"/>
      <c r="W56" s="127"/>
      <c r="X56" s="127"/>
      <c r="Y56" s="127"/>
      <c r="Z56" s="127"/>
      <c r="AA56" s="127"/>
    </row>
    <row r="57" spans="1:27" x14ac:dyDescent="0.25">
      <c r="A57" s="127"/>
      <c r="B57" s="206">
        <f t="shared" si="2"/>
        <v>150</v>
      </c>
      <c r="C57" s="346">
        <f t="shared" si="3"/>
        <v>47.236655274101437</v>
      </c>
      <c r="D57" s="127"/>
      <c r="E57" s="127"/>
      <c r="F57" s="127"/>
      <c r="G57" s="127"/>
      <c r="H57" s="127"/>
      <c r="I57" s="127"/>
      <c r="J57" s="127"/>
      <c r="K57" s="127"/>
      <c r="L57" s="127"/>
      <c r="M57" s="127"/>
      <c r="N57" s="127"/>
      <c r="O57" s="127"/>
      <c r="P57" s="225"/>
      <c r="Q57" s="127"/>
      <c r="R57" s="127"/>
      <c r="S57" s="127"/>
      <c r="T57" s="127"/>
      <c r="U57" s="127"/>
      <c r="V57" s="127"/>
      <c r="W57" s="127"/>
      <c r="X57" s="127"/>
      <c r="Y57" s="127"/>
      <c r="Z57" s="127"/>
      <c r="AA57" s="127"/>
    </row>
    <row r="58" spans="1:27" x14ac:dyDescent="0.25">
      <c r="A58" s="127"/>
      <c r="B58" s="206">
        <f t="shared" si="2"/>
        <v>165</v>
      </c>
      <c r="C58" s="346">
        <f t="shared" si="3"/>
        <v>43.82349924649489</v>
      </c>
      <c r="D58" s="127"/>
      <c r="E58" s="127"/>
      <c r="F58" s="127"/>
      <c r="G58" s="127"/>
      <c r="H58" s="127"/>
      <c r="I58" s="127"/>
      <c r="J58" s="127"/>
      <c r="K58" s="127"/>
      <c r="L58" s="127"/>
      <c r="M58" s="127"/>
      <c r="N58" s="127"/>
      <c r="O58" s="127"/>
      <c r="P58" s="225"/>
      <c r="Q58" s="127"/>
      <c r="R58" s="127"/>
      <c r="S58" s="127"/>
      <c r="T58" s="127"/>
      <c r="U58" s="127"/>
      <c r="V58" s="127"/>
      <c r="W58" s="127"/>
      <c r="X58" s="127"/>
      <c r="Y58" s="127"/>
      <c r="Z58" s="127"/>
      <c r="AA58" s="127"/>
    </row>
    <row r="59" spans="1:27" x14ac:dyDescent="0.25">
      <c r="A59" s="127"/>
      <c r="B59" s="206">
        <f t="shared" si="2"/>
        <v>180</v>
      </c>
      <c r="C59" s="346">
        <f t="shared" si="3"/>
        <v>40.656965974059879</v>
      </c>
      <c r="D59" s="127"/>
      <c r="E59" s="127"/>
      <c r="F59" s="127"/>
      <c r="G59" s="127"/>
      <c r="H59" s="127"/>
      <c r="I59" s="127"/>
      <c r="J59" s="127"/>
      <c r="K59" s="127"/>
      <c r="L59" s="127"/>
      <c r="M59" s="127"/>
      <c r="N59" s="127"/>
      <c r="O59" s="127"/>
      <c r="P59" s="225"/>
      <c r="Q59" s="127"/>
      <c r="R59" s="127"/>
      <c r="S59" s="127"/>
      <c r="T59" s="127"/>
      <c r="U59" s="127"/>
      <c r="V59" s="127"/>
      <c r="W59" s="127"/>
      <c r="X59" s="127"/>
      <c r="Y59" s="127"/>
      <c r="Z59" s="127"/>
      <c r="AA59" s="127"/>
    </row>
    <row r="60" spans="1:27" x14ac:dyDescent="0.25">
      <c r="A60" s="127"/>
      <c r="B60" s="206">
        <f t="shared" si="2"/>
        <v>195</v>
      </c>
      <c r="C60" s="346">
        <f t="shared" si="3"/>
        <v>37.719235356315657</v>
      </c>
      <c r="D60" s="127"/>
      <c r="E60" s="127"/>
      <c r="F60" s="127"/>
      <c r="G60" s="127"/>
      <c r="H60" s="127"/>
      <c r="I60" s="127"/>
      <c r="J60" s="127"/>
      <c r="K60" s="127"/>
      <c r="L60" s="127"/>
      <c r="M60" s="127"/>
      <c r="N60" s="127"/>
      <c r="O60" s="127"/>
      <c r="P60" s="225"/>
      <c r="Q60" s="127"/>
      <c r="R60" s="127"/>
      <c r="S60" s="127"/>
      <c r="T60" s="127"/>
      <c r="U60" s="127"/>
      <c r="V60" s="127"/>
      <c r="W60" s="127"/>
      <c r="X60" s="127"/>
      <c r="Y60" s="127"/>
      <c r="Z60" s="127"/>
      <c r="AA60" s="127"/>
    </row>
    <row r="61" spans="1:27" x14ac:dyDescent="0.25">
      <c r="A61" s="127"/>
      <c r="B61" s="206">
        <f t="shared" si="2"/>
        <v>210</v>
      </c>
      <c r="C61" s="346">
        <f t="shared" si="3"/>
        <v>34.993774911115501</v>
      </c>
      <c r="D61" s="127"/>
      <c r="E61" s="127"/>
      <c r="F61" s="127"/>
      <c r="G61" s="127"/>
      <c r="H61" s="127"/>
      <c r="I61" s="127"/>
      <c r="J61" s="127"/>
      <c r="K61" s="127"/>
      <c r="L61" s="127"/>
      <c r="M61" s="127"/>
      <c r="N61" s="127"/>
      <c r="O61" s="127"/>
      <c r="P61" s="225"/>
      <c r="Q61" s="127"/>
      <c r="R61" s="127"/>
      <c r="S61" s="127"/>
      <c r="T61" s="127"/>
      <c r="U61" s="127"/>
      <c r="V61" s="127"/>
      <c r="W61" s="127"/>
      <c r="X61" s="127"/>
      <c r="Y61" s="127"/>
      <c r="Z61" s="127"/>
      <c r="AA61" s="127"/>
    </row>
    <row r="62" spans="1:27" x14ac:dyDescent="0.25">
      <c r="A62" s="127"/>
      <c r="B62" s="206">
        <f t="shared" si="2"/>
        <v>225</v>
      </c>
      <c r="C62" s="346">
        <f t="shared" si="3"/>
        <v>32.465246735834938</v>
      </c>
      <c r="D62" s="127"/>
      <c r="E62" s="127"/>
      <c r="F62" s="127"/>
      <c r="G62" s="127"/>
      <c r="H62" s="127"/>
      <c r="I62" s="127"/>
      <c r="J62" s="127"/>
      <c r="K62" s="127"/>
      <c r="L62" s="127"/>
      <c r="M62" s="127"/>
      <c r="N62" s="127"/>
      <c r="O62" s="127"/>
      <c r="P62" s="225"/>
      <c r="Q62" s="127"/>
      <c r="R62" s="127"/>
      <c r="S62" s="127"/>
      <c r="T62" s="127"/>
      <c r="U62" s="127"/>
      <c r="V62" s="127"/>
      <c r="W62" s="127"/>
      <c r="X62" s="127"/>
      <c r="Y62" s="127"/>
      <c r="Z62" s="127"/>
      <c r="AA62" s="127"/>
    </row>
    <row r="63" spans="1:27" x14ac:dyDescent="0.25">
      <c r="A63" s="127"/>
      <c r="B63" s="206">
        <f t="shared" si="2"/>
        <v>240</v>
      </c>
      <c r="C63" s="346">
        <f t="shared" si="3"/>
        <v>30.119421191220177</v>
      </c>
      <c r="D63" s="127"/>
      <c r="E63" s="127"/>
      <c r="F63" s="127"/>
      <c r="G63" s="127"/>
      <c r="H63" s="127"/>
      <c r="I63" s="127"/>
      <c r="J63" s="127"/>
      <c r="K63" s="127"/>
      <c r="L63" s="127"/>
      <c r="M63" s="127"/>
      <c r="N63" s="127"/>
      <c r="O63" s="127"/>
      <c r="P63" s="225"/>
      <c r="Q63" s="127"/>
      <c r="R63" s="127"/>
      <c r="S63" s="127"/>
      <c r="T63" s="127"/>
      <c r="U63" s="127"/>
      <c r="V63" s="127"/>
      <c r="W63" s="127"/>
      <c r="X63" s="127"/>
      <c r="Y63" s="127"/>
      <c r="Z63" s="127"/>
      <c r="AA63" s="127"/>
    </row>
    <row r="64" spans="1:27" x14ac:dyDescent="0.25">
      <c r="A64" s="127"/>
      <c r="B64" s="206">
        <f t="shared" si="2"/>
        <v>255</v>
      </c>
      <c r="C64" s="346">
        <f t="shared" si="3"/>
        <v>27.943096822140703</v>
      </c>
      <c r="D64" s="127"/>
      <c r="E64" s="127"/>
      <c r="F64" s="127"/>
      <c r="G64" s="127"/>
      <c r="H64" s="127"/>
      <c r="I64" s="127"/>
      <c r="J64" s="127"/>
      <c r="K64" s="127"/>
      <c r="L64" s="127"/>
      <c r="M64" s="127"/>
      <c r="N64" s="127"/>
      <c r="O64" s="127"/>
      <c r="P64" s="225"/>
      <c r="Q64" s="127"/>
      <c r="R64" s="127"/>
      <c r="S64" s="127"/>
      <c r="T64" s="127"/>
      <c r="U64" s="127"/>
      <c r="V64" s="127"/>
      <c r="W64" s="127"/>
      <c r="X64" s="127"/>
      <c r="Y64" s="127"/>
      <c r="Z64" s="127"/>
      <c r="AA64" s="127"/>
    </row>
    <row r="65" spans="1:27" x14ac:dyDescent="0.25">
      <c r="A65" s="127"/>
      <c r="B65" s="206">
        <f t="shared" si="2"/>
        <v>270</v>
      </c>
      <c r="C65" s="346">
        <f t="shared" si="3"/>
        <v>25.924026064589121</v>
      </c>
      <c r="D65" s="127"/>
      <c r="E65" s="127"/>
      <c r="F65" s="127"/>
      <c r="G65" s="127"/>
      <c r="H65" s="127"/>
      <c r="I65" s="127"/>
      <c r="J65" s="127"/>
      <c r="K65" s="127"/>
      <c r="L65" s="127"/>
      <c r="M65" s="127"/>
      <c r="N65" s="127"/>
      <c r="O65" s="127"/>
      <c r="P65" s="225"/>
      <c r="Q65" s="127"/>
      <c r="R65" s="127"/>
      <c r="S65" s="127"/>
      <c r="T65" s="127"/>
      <c r="U65" s="127"/>
      <c r="V65" s="127"/>
      <c r="W65" s="127"/>
      <c r="X65" s="127"/>
      <c r="Y65" s="127"/>
      <c r="Z65" s="127"/>
      <c r="AA65" s="127"/>
    </row>
    <row r="66" spans="1:27" x14ac:dyDescent="0.25">
      <c r="A66" s="127"/>
      <c r="B66" s="206">
        <f t="shared" si="2"/>
        <v>285</v>
      </c>
      <c r="C66" s="346">
        <f t="shared" si="3"/>
        <v>24.050846320834186</v>
      </c>
      <c r="D66" s="127"/>
      <c r="E66" s="127"/>
      <c r="F66" s="127"/>
      <c r="G66" s="127"/>
      <c r="H66" s="127"/>
      <c r="I66" s="127"/>
      <c r="J66" s="127"/>
      <c r="K66" s="127"/>
      <c r="L66" s="127"/>
      <c r="M66" s="127"/>
      <c r="N66" s="127"/>
      <c r="O66" s="127"/>
      <c r="P66" s="225"/>
      <c r="Q66" s="127"/>
      <c r="R66" s="127"/>
      <c r="S66" s="127"/>
      <c r="T66" s="127"/>
      <c r="U66" s="127"/>
      <c r="V66" s="127"/>
      <c r="W66" s="127"/>
      <c r="X66" s="127"/>
      <c r="Y66" s="127"/>
      <c r="Z66" s="127"/>
      <c r="AA66" s="127"/>
    </row>
    <row r="67" spans="1:27" x14ac:dyDescent="0.25">
      <c r="A67" s="127"/>
      <c r="B67" s="206">
        <f t="shared" si="2"/>
        <v>300</v>
      </c>
      <c r="C67" s="346">
        <f t="shared" si="3"/>
        <v>22.313016014842955</v>
      </c>
      <c r="D67" s="127"/>
      <c r="E67" s="127"/>
      <c r="F67" s="127"/>
      <c r="G67" s="127"/>
      <c r="H67" s="127"/>
      <c r="I67" s="127"/>
      <c r="J67" s="127"/>
      <c r="K67" s="127"/>
      <c r="L67" s="127"/>
      <c r="M67" s="127"/>
      <c r="N67" s="127"/>
      <c r="O67" s="127"/>
      <c r="P67" s="225"/>
      <c r="Q67" s="127"/>
      <c r="R67" s="127"/>
      <c r="S67" s="127"/>
      <c r="T67" s="127"/>
      <c r="U67" s="127"/>
      <c r="V67" s="127"/>
      <c r="W67" s="127"/>
      <c r="X67" s="127"/>
      <c r="Y67" s="127"/>
      <c r="Z67" s="127"/>
      <c r="AA67" s="127"/>
    </row>
    <row r="68" spans="1:27" x14ac:dyDescent="0.25">
      <c r="A68" s="127"/>
      <c r="B68" s="127"/>
      <c r="C68" s="127"/>
      <c r="D68" s="127"/>
      <c r="E68" s="127"/>
      <c r="F68" s="127"/>
      <c r="G68" s="127"/>
      <c r="H68" s="127"/>
      <c r="I68" s="127"/>
      <c r="J68" s="127"/>
      <c r="K68" s="127"/>
      <c r="L68" s="127"/>
      <c r="M68" s="127"/>
      <c r="N68" s="127"/>
      <c r="O68" s="127"/>
      <c r="P68" s="225"/>
      <c r="Q68" s="127"/>
      <c r="R68" s="127"/>
      <c r="S68" s="127"/>
      <c r="T68" s="127"/>
      <c r="U68" s="127"/>
      <c r="V68" s="127"/>
      <c r="W68" s="127"/>
      <c r="X68" s="127"/>
      <c r="Y68" s="127"/>
      <c r="Z68" s="127"/>
      <c r="AA68" s="127"/>
    </row>
    <row r="69" spans="1:27" x14ac:dyDescent="0.25">
      <c r="A69" s="127"/>
      <c r="B69" s="127"/>
      <c r="C69" s="127"/>
      <c r="D69" s="127"/>
      <c r="E69" s="127"/>
      <c r="F69" s="127"/>
      <c r="G69" s="127"/>
      <c r="H69" s="127"/>
      <c r="I69" s="127"/>
      <c r="J69" s="127"/>
      <c r="K69" s="127"/>
      <c r="L69" s="127"/>
      <c r="M69" s="127"/>
      <c r="N69" s="127"/>
      <c r="O69" s="127"/>
      <c r="P69" s="225"/>
      <c r="Q69" s="127"/>
      <c r="R69" s="127"/>
      <c r="S69" s="127"/>
      <c r="T69" s="127"/>
      <c r="U69" s="127"/>
      <c r="V69" s="127"/>
      <c r="W69" s="127"/>
      <c r="X69" s="127"/>
      <c r="Y69" s="127"/>
      <c r="Z69" s="127"/>
      <c r="AA69" s="127"/>
    </row>
    <row r="70" spans="1:27" x14ac:dyDescent="0.25">
      <c r="A70" s="127"/>
      <c r="B70" s="127"/>
      <c r="C70" s="127"/>
      <c r="D70" s="127"/>
      <c r="E70" s="127"/>
      <c r="F70" s="127"/>
      <c r="G70" s="127"/>
      <c r="H70" s="127"/>
      <c r="I70" s="127"/>
      <c r="J70" s="127"/>
      <c r="K70" s="127"/>
      <c r="L70" s="127"/>
      <c r="M70" s="127"/>
      <c r="N70" s="127"/>
      <c r="O70" s="127"/>
      <c r="P70" s="225"/>
      <c r="Q70" s="127"/>
      <c r="R70" s="127"/>
      <c r="S70" s="127"/>
      <c r="T70" s="127"/>
      <c r="U70" s="127"/>
      <c r="V70" s="127"/>
      <c r="W70" s="127"/>
      <c r="X70" s="127"/>
      <c r="Y70" s="127"/>
      <c r="Z70" s="127"/>
      <c r="AA70" s="127"/>
    </row>
    <row r="71" spans="1:27" x14ac:dyDescent="0.25">
      <c r="A71" s="127"/>
      <c r="B71" s="127"/>
      <c r="C71" s="127"/>
      <c r="D71" s="127"/>
      <c r="E71" s="127"/>
      <c r="F71" s="127"/>
      <c r="G71" s="127"/>
      <c r="H71" s="127"/>
      <c r="I71" s="127"/>
      <c r="J71" s="127"/>
      <c r="K71" s="127"/>
      <c r="L71" s="127"/>
      <c r="M71" s="127"/>
      <c r="N71" s="127"/>
      <c r="O71" s="127"/>
      <c r="P71" s="225"/>
      <c r="Q71" s="127"/>
      <c r="R71" s="127"/>
      <c r="S71" s="127"/>
      <c r="T71" s="127"/>
      <c r="U71" s="127"/>
      <c r="V71" s="127"/>
      <c r="W71" s="127"/>
      <c r="X71" s="127"/>
      <c r="Y71" s="127"/>
      <c r="Z71" s="127"/>
      <c r="AA71" s="127"/>
    </row>
    <row r="72" spans="1:27" x14ac:dyDescent="0.25">
      <c r="A72" s="127"/>
      <c r="B72" s="127"/>
      <c r="C72" s="127"/>
      <c r="D72" s="127"/>
      <c r="E72" s="127"/>
      <c r="F72" s="127"/>
      <c r="G72" s="127"/>
      <c r="H72" s="127"/>
      <c r="I72" s="127"/>
      <c r="J72" s="127"/>
      <c r="K72" s="127"/>
      <c r="L72" s="127"/>
      <c r="M72" s="127"/>
      <c r="N72" s="127"/>
      <c r="O72" s="127"/>
      <c r="P72" s="225"/>
      <c r="Q72" s="127"/>
      <c r="R72" s="127"/>
      <c r="S72" s="127"/>
      <c r="T72" s="127"/>
      <c r="U72" s="127"/>
      <c r="V72" s="127"/>
      <c r="W72" s="127"/>
      <c r="X72" s="127"/>
      <c r="Y72" s="127"/>
      <c r="Z72" s="127"/>
      <c r="AA72" s="127"/>
    </row>
    <row r="73" spans="1:27" x14ac:dyDescent="0.25">
      <c r="A73" s="127"/>
      <c r="B73" s="127"/>
      <c r="C73" s="127"/>
      <c r="D73" s="127"/>
      <c r="E73" s="127"/>
      <c r="F73" s="127"/>
      <c r="G73" s="127"/>
      <c r="H73" s="127"/>
      <c r="I73" s="127"/>
      <c r="J73" s="127"/>
      <c r="K73" s="127"/>
      <c r="L73" s="127"/>
      <c r="M73" s="127"/>
      <c r="N73" s="127"/>
      <c r="O73" s="127"/>
      <c r="P73" s="225"/>
      <c r="Q73" s="127"/>
      <c r="R73" s="127"/>
      <c r="S73" s="127"/>
      <c r="T73" s="127"/>
      <c r="U73" s="127"/>
      <c r="V73" s="127"/>
      <c r="W73" s="127"/>
      <c r="X73" s="127"/>
      <c r="Y73" s="127"/>
      <c r="Z73" s="127"/>
      <c r="AA73" s="127"/>
    </row>
    <row r="74" spans="1:27" x14ac:dyDescent="0.25">
      <c r="A74" s="127"/>
      <c r="B74" s="127"/>
      <c r="C74" s="127"/>
      <c r="D74" s="127"/>
      <c r="E74" s="127"/>
      <c r="F74" s="127"/>
      <c r="G74" s="127"/>
      <c r="H74" s="127"/>
      <c r="I74" s="127"/>
      <c r="J74" s="127"/>
      <c r="K74" s="127"/>
      <c r="L74" s="127"/>
      <c r="M74" s="127"/>
      <c r="N74" s="127"/>
      <c r="O74" s="127"/>
      <c r="P74" s="225"/>
      <c r="Q74" s="127"/>
      <c r="R74" s="127"/>
      <c r="S74" s="127"/>
      <c r="T74" s="127"/>
      <c r="U74" s="127"/>
      <c r="V74" s="127"/>
      <c r="W74" s="127"/>
      <c r="X74" s="127"/>
      <c r="Y74" s="127"/>
      <c r="Z74" s="127"/>
      <c r="AA74" s="127"/>
    </row>
    <row r="75" spans="1:27" x14ac:dyDescent="0.25">
      <c r="A75" s="127"/>
      <c r="B75" s="127"/>
      <c r="C75" s="127"/>
      <c r="D75" s="127"/>
      <c r="E75" s="127"/>
      <c r="F75" s="127"/>
      <c r="G75" s="127"/>
      <c r="H75" s="127"/>
      <c r="I75" s="127"/>
      <c r="J75" s="127"/>
      <c r="K75" s="127"/>
      <c r="L75" s="127"/>
      <c r="M75" s="127"/>
      <c r="N75" s="127"/>
      <c r="O75" s="127"/>
      <c r="P75" s="225"/>
      <c r="Q75" s="127"/>
      <c r="R75" s="127"/>
      <c r="S75" s="127"/>
      <c r="T75" s="127"/>
      <c r="U75" s="127"/>
      <c r="V75" s="127"/>
      <c r="W75" s="127"/>
      <c r="X75" s="127"/>
      <c r="Y75" s="127"/>
      <c r="Z75" s="127"/>
      <c r="AA75" s="127"/>
    </row>
    <row r="76" spans="1:27" x14ac:dyDescent="0.25">
      <c r="A76" s="127"/>
      <c r="B76" s="127"/>
      <c r="C76" s="127"/>
      <c r="D76" s="127"/>
      <c r="E76" s="127"/>
      <c r="F76" s="127"/>
      <c r="G76" s="127"/>
      <c r="H76" s="127"/>
      <c r="I76" s="127"/>
      <c r="J76" s="127"/>
      <c r="K76" s="127"/>
      <c r="L76" s="127"/>
      <c r="M76" s="127"/>
      <c r="N76" s="127"/>
      <c r="O76" s="127"/>
      <c r="P76" s="225"/>
      <c r="Q76" s="127"/>
      <c r="R76" s="127"/>
      <c r="S76" s="127"/>
      <c r="T76" s="127"/>
      <c r="U76" s="127"/>
      <c r="V76" s="127"/>
      <c r="W76" s="127"/>
      <c r="X76" s="127"/>
      <c r="Y76" s="127"/>
      <c r="Z76" s="127"/>
      <c r="AA76" s="127"/>
    </row>
    <row r="77" spans="1:27" x14ac:dyDescent="0.25">
      <c r="A77" s="127"/>
      <c r="B77" s="127"/>
      <c r="C77" s="127"/>
      <c r="D77" s="127"/>
      <c r="E77" s="127"/>
      <c r="F77" s="127"/>
      <c r="G77" s="127"/>
      <c r="H77" s="127"/>
      <c r="I77" s="127"/>
      <c r="J77" s="127"/>
      <c r="K77" s="127"/>
      <c r="L77" s="127"/>
      <c r="M77" s="127"/>
      <c r="N77" s="127"/>
      <c r="O77" s="127"/>
      <c r="P77" s="225"/>
      <c r="Q77" s="127"/>
      <c r="R77" s="127"/>
      <c r="S77" s="127"/>
      <c r="T77" s="127"/>
      <c r="U77" s="127"/>
      <c r="V77" s="127"/>
      <c r="W77" s="127"/>
      <c r="X77" s="127"/>
      <c r="Y77" s="127"/>
      <c r="Z77" s="127"/>
      <c r="AA77" s="127"/>
    </row>
    <row r="78" spans="1:27" x14ac:dyDescent="0.25">
      <c r="A78" s="127"/>
      <c r="B78" s="127"/>
      <c r="C78" s="127"/>
      <c r="D78" s="127"/>
      <c r="E78" s="127"/>
      <c r="F78" s="127"/>
      <c r="G78" s="127"/>
      <c r="H78" s="127"/>
      <c r="I78" s="127"/>
      <c r="J78" s="127"/>
      <c r="K78" s="127"/>
      <c r="L78" s="127"/>
      <c r="M78" s="127"/>
      <c r="N78" s="127"/>
      <c r="O78" s="127"/>
      <c r="P78" s="225"/>
      <c r="Q78" s="127"/>
      <c r="R78" s="127"/>
      <c r="S78" s="127"/>
      <c r="T78" s="127"/>
      <c r="U78" s="127"/>
      <c r="V78" s="127"/>
      <c r="W78" s="127"/>
      <c r="X78" s="127"/>
      <c r="Y78" s="127"/>
      <c r="Z78" s="127"/>
      <c r="AA78" s="127"/>
    </row>
    <row r="79" spans="1:27" x14ac:dyDescent="0.25">
      <c r="O79" s="127"/>
      <c r="P79" s="225"/>
    </row>
    <row r="80" spans="1:27" x14ac:dyDescent="0.25">
      <c r="O80" s="127"/>
      <c r="P80" s="225"/>
    </row>
    <row r="81" spans="15:16" x14ac:dyDescent="0.25">
      <c r="O81" s="127"/>
      <c r="P81" s="225"/>
    </row>
    <row r="82" spans="15:16" x14ac:dyDescent="0.25">
      <c r="O82" s="127"/>
      <c r="P82" s="225"/>
    </row>
    <row r="83" spans="15:16" x14ac:dyDescent="0.25">
      <c r="O83" s="127"/>
      <c r="P83" s="225"/>
    </row>
    <row r="84" spans="15:16" x14ac:dyDescent="0.25">
      <c r="O84" s="127"/>
      <c r="P84" s="225"/>
    </row>
    <row r="85" spans="15:16" x14ac:dyDescent="0.25">
      <c r="O85" s="127"/>
      <c r="P85" s="225"/>
    </row>
    <row r="86" spans="15:16" x14ac:dyDescent="0.25">
      <c r="O86" s="127"/>
      <c r="P86" s="225"/>
    </row>
    <row r="87" spans="15:16" x14ac:dyDescent="0.25">
      <c r="O87" s="127"/>
      <c r="P87" s="225"/>
    </row>
    <row r="88" spans="15:16" x14ac:dyDescent="0.25">
      <c r="O88" s="127"/>
      <c r="P88" s="225"/>
    </row>
    <row r="89" spans="15:16" x14ac:dyDescent="0.25">
      <c r="O89" s="127"/>
      <c r="P89" s="225"/>
    </row>
    <row r="90" spans="15:16" x14ac:dyDescent="0.25">
      <c r="O90" s="127"/>
      <c r="P90" s="225"/>
    </row>
    <row r="91" spans="15:16" x14ac:dyDescent="0.25">
      <c r="O91" s="127"/>
      <c r="P91" s="225"/>
    </row>
    <row r="92" spans="15:16" x14ac:dyDescent="0.25">
      <c r="O92" s="127"/>
      <c r="P92" s="225"/>
    </row>
    <row r="93" spans="15:16" x14ac:dyDescent="0.25">
      <c r="O93" s="127"/>
      <c r="P93" s="225"/>
    </row>
    <row r="94" spans="15:16" x14ac:dyDescent="0.25">
      <c r="O94" s="127"/>
      <c r="P94" s="225"/>
    </row>
    <row r="95" spans="15:16" x14ac:dyDescent="0.25">
      <c r="O95" s="127"/>
      <c r="P95" s="225"/>
    </row>
    <row r="96" spans="15:16" x14ac:dyDescent="0.25">
      <c r="O96" s="127"/>
      <c r="P96" s="225"/>
    </row>
    <row r="97" spans="15:16" x14ac:dyDescent="0.25">
      <c r="O97" s="127"/>
      <c r="P97" s="225"/>
    </row>
    <row r="98" spans="15:16" x14ac:dyDescent="0.25">
      <c r="O98" s="127"/>
      <c r="P98" s="225"/>
    </row>
    <row r="99" spans="15:16" x14ac:dyDescent="0.25">
      <c r="O99" s="127"/>
      <c r="P99" s="225"/>
    </row>
    <row r="100" spans="15:16" x14ac:dyDescent="0.25">
      <c r="O100" s="127"/>
      <c r="P100" s="225"/>
    </row>
    <row r="101" spans="15:16" x14ac:dyDescent="0.25">
      <c r="O101" s="127"/>
      <c r="P101" s="225"/>
    </row>
    <row r="102" spans="15:16" x14ac:dyDescent="0.25">
      <c r="O102" s="127"/>
      <c r="P102" s="225"/>
    </row>
    <row r="103" spans="15:16" x14ac:dyDescent="0.25">
      <c r="O103" s="127"/>
      <c r="P103" s="225"/>
    </row>
    <row r="104" spans="15:16" x14ac:dyDescent="0.25">
      <c r="O104" s="127"/>
      <c r="P104" s="225"/>
    </row>
    <row r="105" spans="15:16" x14ac:dyDescent="0.25">
      <c r="O105" s="127"/>
      <c r="P105" s="225"/>
    </row>
    <row r="106" spans="15:16" x14ac:dyDescent="0.25">
      <c r="O106" s="127"/>
      <c r="P106" s="225"/>
    </row>
    <row r="107" spans="15:16" x14ac:dyDescent="0.25">
      <c r="O107" s="127"/>
    </row>
    <row r="108" spans="15:16" x14ac:dyDescent="0.25">
      <c r="O108" s="127"/>
    </row>
    <row r="109" spans="15:16" x14ac:dyDescent="0.25">
      <c r="O109" s="127"/>
    </row>
    <row r="110" spans="15:16" x14ac:dyDescent="0.25">
      <c r="O110" s="127"/>
    </row>
    <row r="111" spans="15:16" x14ac:dyDescent="0.25">
      <c r="O111" s="127"/>
    </row>
    <row r="112" spans="15:16" x14ac:dyDescent="0.25">
      <c r="O112" s="127"/>
    </row>
    <row r="113" spans="15:15" x14ac:dyDescent="0.25">
      <c r="O113" s="127"/>
    </row>
    <row r="114" spans="15:15" x14ac:dyDescent="0.25">
      <c r="O114" s="127"/>
    </row>
    <row r="115" spans="15:15" x14ac:dyDescent="0.25">
      <c r="O115" s="127"/>
    </row>
    <row r="116" spans="15:15" x14ac:dyDescent="0.25">
      <c r="O116" s="127"/>
    </row>
    <row r="117" spans="15:15" x14ac:dyDescent="0.25">
      <c r="O117" s="127"/>
    </row>
    <row r="118" spans="15:15" x14ac:dyDescent="0.25">
      <c r="O118" s="127"/>
    </row>
    <row r="119" spans="15:15" x14ac:dyDescent="0.25">
      <c r="O119" s="127"/>
    </row>
    <row r="120" spans="15:15" x14ac:dyDescent="0.25">
      <c r="O120" s="127"/>
    </row>
    <row r="121" spans="15:15" x14ac:dyDescent="0.25">
      <c r="O121" s="127"/>
    </row>
    <row r="122" spans="15:15" x14ac:dyDescent="0.25">
      <c r="O122" s="127"/>
    </row>
    <row r="123" spans="15:15" x14ac:dyDescent="0.25">
      <c r="O123" s="127"/>
    </row>
    <row r="124" spans="15:15" x14ac:dyDescent="0.25">
      <c r="O124" s="127"/>
    </row>
    <row r="125" spans="15:15" x14ac:dyDescent="0.25">
      <c r="O125" s="127"/>
    </row>
    <row r="126" spans="15:15" x14ac:dyDescent="0.25">
      <c r="O126" s="127"/>
    </row>
    <row r="127" spans="15:15" x14ac:dyDescent="0.25">
      <c r="O127" s="127"/>
    </row>
  </sheetData>
  <sheetProtection password="CF27" sheet="1" objects="1" scenarios="1"/>
  <mergeCells count="7">
    <mergeCell ref="F45:K45"/>
    <mergeCell ref="F44:M44"/>
    <mergeCell ref="E31:E37"/>
    <mergeCell ref="J35:J40"/>
    <mergeCell ref="A11:B16"/>
    <mergeCell ref="F31:F37"/>
    <mergeCell ref="B45:C4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election activeCell="R11" sqref="R11"/>
    </sheetView>
  </sheetViews>
  <sheetFormatPr defaultRowHeight="12.5" x14ac:dyDescent="0.25"/>
  <sheetData/>
  <sheetProtection password="CF27"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4"/>
  <sheetViews>
    <sheetView topLeftCell="A5" zoomScale="85" zoomScaleNormal="85" workbookViewId="0">
      <selection activeCell="R32" sqref="R32"/>
    </sheetView>
  </sheetViews>
  <sheetFormatPr defaultRowHeight="12.5" x14ac:dyDescent="0.25"/>
  <sheetData>
    <row r="1" spans="1:2" x14ac:dyDescent="0.25">
      <c r="A1" s="285"/>
      <c r="B1" t="s">
        <v>325</v>
      </c>
    </row>
    <row r="23" spans="2:18" ht="12.75" customHeight="1" x14ac:dyDescent="0.25">
      <c r="K23" s="457" t="s">
        <v>326</v>
      </c>
      <c r="L23" s="457"/>
      <c r="M23" s="457"/>
      <c r="N23" s="457"/>
      <c r="O23" s="457"/>
      <c r="P23" s="457"/>
      <c r="Q23" s="457"/>
      <c r="R23" s="457"/>
    </row>
    <row r="24" spans="2:18" x14ac:dyDescent="0.25">
      <c r="K24" s="457"/>
      <c r="L24" s="457"/>
      <c r="M24" s="457"/>
      <c r="N24" s="457"/>
      <c r="O24" s="457"/>
      <c r="P24" s="457"/>
      <c r="Q24" s="457"/>
      <c r="R24" s="457"/>
    </row>
    <row r="25" spans="2:18" x14ac:dyDescent="0.25">
      <c r="K25" s="457"/>
      <c r="L25" s="457"/>
      <c r="M25" s="457"/>
      <c r="N25" s="457"/>
      <c r="O25" s="457"/>
      <c r="P25" s="457"/>
      <c r="Q25" s="457"/>
      <c r="R25" s="457"/>
    </row>
    <row r="26" spans="2:18" x14ac:dyDescent="0.25">
      <c r="K26" s="457"/>
      <c r="L26" s="457"/>
      <c r="M26" s="457"/>
      <c r="N26" s="457"/>
      <c r="O26" s="457"/>
      <c r="P26" s="457"/>
      <c r="Q26" s="457"/>
      <c r="R26" s="457"/>
    </row>
    <row r="27" spans="2:18" x14ac:dyDescent="0.25">
      <c r="K27" s="457"/>
      <c r="L27" s="457"/>
      <c r="M27" s="457"/>
      <c r="N27" s="457"/>
      <c r="O27" s="457"/>
      <c r="P27" s="457"/>
      <c r="Q27" s="457"/>
      <c r="R27" s="457"/>
    </row>
    <row r="28" spans="2:18" x14ac:dyDescent="0.25">
      <c r="K28" s="457"/>
      <c r="L28" s="457"/>
      <c r="M28" s="457"/>
      <c r="N28" s="457"/>
      <c r="O28" s="457"/>
      <c r="P28" s="457"/>
      <c r="Q28" s="457"/>
      <c r="R28" s="457"/>
    </row>
    <row r="29" spans="2:18" ht="37.5" x14ac:dyDescent="0.25">
      <c r="B29" s="351"/>
      <c r="C29" s="352" t="s">
        <v>323</v>
      </c>
      <c r="D29" s="352" t="s">
        <v>324</v>
      </c>
      <c r="K29" s="457"/>
      <c r="L29" s="457"/>
      <c r="M29" s="457"/>
      <c r="N29" s="457"/>
      <c r="O29" s="457"/>
      <c r="P29" s="457"/>
      <c r="Q29" s="457"/>
      <c r="R29" s="457"/>
    </row>
    <row r="30" spans="2:18" x14ac:dyDescent="0.25">
      <c r="B30" s="351">
        <v>40544</v>
      </c>
      <c r="C30" s="285"/>
      <c r="D30" s="285"/>
    </row>
    <row r="31" spans="2:18" x14ac:dyDescent="0.25">
      <c r="B31" s="351">
        <v>40558</v>
      </c>
      <c r="C31">
        <f>IF('Current version'!BA5="","NA",'Current version'!BA5/'Current version'!BA4)-1</f>
        <v>-7.3399166893701517E-2</v>
      </c>
      <c r="D31" s="285">
        <f>('Current version'!BQ5/'Current version'!BQ4)-1</f>
        <v>0</v>
      </c>
    </row>
    <row r="32" spans="2:18" x14ac:dyDescent="0.25">
      <c r="B32" s="351">
        <v>40575</v>
      </c>
      <c r="C32">
        <f>IF('Current version'!BA6="","NA",'Current version'!BA6/'Current version'!BA5)-1</f>
        <v>8.2678537267374175E-2</v>
      </c>
      <c r="D32" s="285">
        <f>('Current version'!BQ6/'Current version'!BQ5)-1</f>
        <v>0</v>
      </c>
    </row>
    <row r="33" spans="2:4" x14ac:dyDescent="0.25">
      <c r="B33" s="351">
        <v>40589</v>
      </c>
      <c r="C33">
        <f>IF('Current version'!BA7="","NA",'Current version'!BA7/'Current version'!BA6)-1</f>
        <v>0.24022442086289875</v>
      </c>
      <c r="D33" s="285">
        <f>('Current version'!BQ7/'Current version'!BQ6)-1</f>
        <v>-0.125</v>
      </c>
    </row>
    <row r="34" spans="2:4" x14ac:dyDescent="0.25">
      <c r="B34" s="351">
        <v>40603</v>
      </c>
      <c r="C34">
        <f>IF('Current version'!BA8="","NA",'Current version'!BA8/'Current version'!BA7)-1</f>
        <v>0.27531034860799775</v>
      </c>
      <c r="D34" s="285">
        <f>('Current version'!BQ8/'Current version'!BQ7)-1</f>
        <v>0</v>
      </c>
    </row>
    <row r="35" spans="2:4" x14ac:dyDescent="0.25">
      <c r="B35" s="351">
        <v>40617</v>
      </c>
      <c r="C35">
        <f>IF('Current version'!BA9="","NA",'Current version'!BA9/'Current version'!BA8)-1</f>
        <v>0.30656249467657171</v>
      </c>
      <c r="D35" s="285">
        <f>('Current version'!BQ9/'Current version'!BQ8)-1</f>
        <v>-0.1428571428571429</v>
      </c>
    </row>
    <row r="36" spans="2:4" x14ac:dyDescent="0.25">
      <c r="B36" s="351">
        <v>40634</v>
      </c>
      <c r="C36">
        <f>IF('Current version'!BA10="","NA",'Current version'!BA10/'Current version'!BA9)-1</f>
        <v>0.40275096711035152</v>
      </c>
      <c r="D36" s="285">
        <f>('Current version'!BQ10/'Current version'!BQ9)-1</f>
        <v>0</v>
      </c>
    </row>
    <row r="37" spans="2:4" x14ac:dyDescent="0.25">
      <c r="B37" s="351">
        <v>40648</v>
      </c>
      <c r="C37">
        <f>IF('Current version'!BA11="","NA",'Current version'!BA11/'Current version'!BA10)-1</f>
        <v>0.55742031819652538</v>
      </c>
      <c r="D37" s="285">
        <f>('Current version'!BQ11/'Current version'!BQ10)-1</f>
        <v>0.33333333333333326</v>
      </c>
    </row>
    <row r="38" spans="2:4" x14ac:dyDescent="0.25">
      <c r="B38" s="351">
        <v>40664</v>
      </c>
      <c r="C38">
        <f>IF('Current version'!BA12="","NA",'Current version'!BA12/'Current version'!BA11)-1</f>
        <v>0.57508373846029137</v>
      </c>
      <c r="D38" s="285">
        <f>('Current version'!BQ12/'Current version'!BQ11)-1</f>
        <v>0.375</v>
      </c>
    </row>
    <row r="39" spans="2:4" x14ac:dyDescent="0.25">
      <c r="B39" s="351">
        <v>40678</v>
      </c>
      <c r="C39">
        <f>IF('Current version'!BA13="","NA",'Current version'!BA13/'Current version'!BA12)-1</f>
        <v>0.55707324548726578</v>
      </c>
      <c r="D39" s="285">
        <f>('Current version'!BQ13/'Current version'!BQ12)-1</f>
        <v>0.36363636363636354</v>
      </c>
    </row>
    <row r="40" spans="2:4" x14ac:dyDescent="0.25">
      <c r="B40" s="351">
        <v>40695</v>
      </c>
      <c r="C40">
        <f>IF('Current version'!BA14="","NA",'Current version'!BA14/'Current version'!BA13)-1</f>
        <v>0.50784368289643855</v>
      </c>
      <c r="D40" s="285">
        <f>('Current version'!BQ14/'Current version'!BQ13)-1</f>
        <v>0.26666666666666661</v>
      </c>
    </row>
    <row r="41" spans="2:4" x14ac:dyDescent="0.25">
      <c r="B41" s="351">
        <v>40709</v>
      </c>
      <c r="C41">
        <f>IF('Current version'!BA15="","NA",'Current version'!BA15/'Current version'!BA14)-1</f>
        <v>0.48690701084491805</v>
      </c>
      <c r="D41" s="285">
        <f>('Current version'!BQ15/'Current version'!BQ14)-1</f>
        <v>0.15789473684210531</v>
      </c>
    </row>
    <row r="42" spans="2:4" x14ac:dyDescent="0.25">
      <c r="B42" s="351">
        <v>40725</v>
      </c>
      <c r="C42">
        <f>IF('Current version'!BA16="","NA",'Current version'!BA16/'Current version'!BA15)-1</f>
        <v>0.42853113527727626</v>
      </c>
      <c r="D42" s="285">
        <f>('Current version'!BQ16/'Current version'!BQ15)-1</f>
        <v>9.0909090909090828E-2</v>
      </c>
    </row>
    <row r="43" spans="2:4" x14ac:dyDescent="0.25">
      <c r="B43" s="351">
        <v>40739</v>
      </c>
      <c r="C43">
        <f>IF('Current version'!BA17="","NA",'Current version'!BA17/'Current version'!BA16)-1</f>
        <v>0.39653651974874538</v>
      </c>
      <c r="D43" s="285">
        <f>('Current version'!BQ17/'Current version'!BQ16)-1</f>
        <v>4.1666666666666741E-2</v>
      </c>
    </row>
    <row r="44" spans="2:4" x14ac:dyDescent="0.25">
      <c r="B44" s="351">
        <v>40756</v>
      </c>
      <c r="C44">
        <f>IF('Current version'!BA18="","NA",'Current version'!BA18/'Current version'!BA17)-1</f>
        <v>0.35396658055831898</v>
      </c>
      <c r="D44" s="285">
        <f>('Current version'!BQ18/'Current version'!BQ17)-1</f>
        <v>0</v>
      </c>
    </row>
    <row r="45" spans="2:4" x14ac:dyDescent="0.25">
      <c r="B45" s="351">
        <v>40770</v>
      </c>
      <c r="C45">
        <f>IF('Current version'!BA19="","NA",'Current version'!BA19/'Current version'!BA18)-1</f>
        <v>0.36569841958873917</v>
      </c>
      <c r="D45" s="285">
        <f>('Current version'!BQ19/'Current version'!BQ18)-1</f>
        <v>-0.12</v>
      </c>
    </row>
    <row r="46" spans="2:4" x14ac:dyDescent="0.25">
      <c r="B46" s="351">
        <v>40787</v>
      </c>
      <c r="C46">
        <f>IF('Current version'!BA20="","NA",'Current version'!BA20/'Current version'!BA19)-1</f>
        <v>-0.86498226550891388</v>
      </c>
      <c r="D46" s="285">
        <f>('Current version'!BQ20/'Current version'!BQ19)-1</f>
        <v>-0.13636363636363635</v>
      </c>
    </row>
    <row r="47" spans="2:4" x14ac:dyDescent="0.25">
      <c r="B47" s="351">
        <v>40801</v>
      </c>
      <c r="C47">
        <f>IF('Current version'!BA21="","NA",'Current version'!BA21/'Current version'!BA20)-1</f>
        <v>1.0288477083819072</v>
      </c>
      <c r="D47" s="285">
        <f>('Current version'!BQ21/'Current version'!BQ20)-1</f>
        <v>-0.15789473684210531</v>
      </c>
    </row>
    <row r="48" spans="2:4" x14ac:dyDescent="0.25">
      <c r="B48" s="351">
        <v>40817</v>
      </c>
      <c r="C48">
        <f>IF('Current version'!BA22="","NA",'Current version'!BA22/'Current version'!BA21)-1</f>
        <v>0.58207936157634776</v>
      </c>
      <c r="D48" s="285">
        <f>('Current version'!BQ22/'Current version'!BQ21)-1</f>
        <v>-6.25E-2</v>
      </c>
    </row>
    <row r="49" spans="2:4" x14ac:dyDescent="0.25">
      <c r="B49" s="351">
        <v>40831</v>
      </c>
      <c r="C49">
        <f>IF('Current version'!BA23="","NA",'Current version'!BA23/'Current version'!BA22)-1</f>
        <v>0.24760360749488219</v>
      </c>
      <c r="D49" s="285">
        <f>('Current version'!BQ23/'Current version'!BQ22)-1</f>
        <v>-0.19999999999999996</v>
      </c>
    </row>
    <row r="50" spans="2:4" x14ac:dyDescent="0.25">
      <c r="B50" s="351">
        <v>40848</v>
      </c>
      <c r="C50" t="e">
        <f>IF('Current version'!BA24="","NA",'Current version'!BA24/'Current version'!BA23)-1</f>
        <v>#VALUE!</v>
      </c>
      <c r="D50" s="285">
        <f>('Current version'!BQ24/'Current version'!BQ23)-1</f>
        <v>-0.25</v>
      </c>
    </row>
    <row r="51" spans="2:4" x14ac:dyDescent="0.25">
      <c r="B51" s="351">
        <v>40862</v>
      </c>
      <c r="C51" t="e">
        <f>IF('Current version'!BA25="","NA",'Current version'!BA25/'Current version'!BA24)-1</f>
        <v>#VALUE!</v>
      </c>
      <c r="D51" s="285">
        <f>('Current version'!BQ25/'Current version'!BQ24)-1</f>
        <v>-5.555555555555558E-2</v>
      </c>
    </row>
    <row r="52" spans="2:4" x14ac:dyDescent="0.25">
      <c r="B52" s="351">
        <v>40878</v>
      </c>
      <c r="C52" t="e">
        <f>IF('Current version'!BA26="","NA",'Current version'!BA26/'Current version'!BA25)-1</f>
        <v>#VALUE!</v>
      </c>
      <c r="D52" s="285">
        <f>('Current version'!BQ26/'Current version'!BQ25)-1</f>
        <v>-2.9411764705882359E-2</v>
      </c>
    </row>
    <row r="53" spans="2:4" x14ac:dyDescent="0.25">
      <c r="B53" s="351">
        <v>40892</v>
      </c>
      <c r="C53" t="e">
        <f>IF('Current version'!BA27="","NA",'Current version'!BA27/'Current version'!BA26)-1</f>
        <v>#VALUE!</v>
      </c>
      <c r="D53" s="285">
        <f>('Current version'!BQ27/'Current version'!BQ26)-1</f>
        <v>-3.0303030303030276E-2</v>
      </c>
    </row>
    <row r="54" spans="2:4" x14ac:dyDescent="0.25">
      <c r="B54" s="351">
        <v>40908</v>
      </c>
      <c r="C54" t="e">
        <f>IF('Current version'!BA28="","NA",'Current version'!BA28/'Current version'!BA27)-1</f>
        <v>#VALUE!</v>
      </c>
      <c r="D54" s="285">
        <f>('Current version'!BQ28/'Current version'!BQ27)-1</f>
        <v>0</v>
      </c>
    </row>
  </sheetData>
  <sheetProtection password="CF27" sheet="1" objects="1" scenarios="1"/>
  <mergeCells count="1">
    <mergeCell ref="K23:R2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0:J66"/>
  <sheetViews>
    <sheetView workbookViewId="0">
      <selection activeCell="R37" sqref="R37"/>
    </sheetView>
  </sheetViews>
  <sheetFormatPr defaultRowHeight="12.5" x14ac:dyDescent="0.25"/>
  <sheetData>
    <row r="30" spans="2:6" x14ac:dyDescent="0.25">
      <c r="B30" t="s">
        <v>342</v>
      </c>
    </row>
    <row r="31" spans="2:6" x14ac:dyDescent="0.25">
      <c r="B31" s="547" t="s">
        <v>343</v>
      </c>
      <c r="C31" s="547"/>
      <c r="D31" s="547"/>
      <c r="E31" s="547"/>
      <c r="F31" s="547"/>
    </row>
    <row r="32" spans="2:6" x14ac:dyDescent="0.25">
      <c r="B32" s="547"/>
      <c r="C32" s="547"/>
      <c r="D32" s="547"/>
      <c r="E32" s="547"/>
      <c r="F32" s="547"/>
    </row>
    <row r="33" spans="2:6" x14ac:dyDescent="0.25">
      <c r="B33" s="547"/>
      <c r="C33" s="547"/>
      <c r="D33" s="547"/>
      <c r="E33" s="547"/>
      <c r="F33" s="547"/>
    </row>
    <row r="34" spans="2:6" x14ac:dyDescent="0.25">
      <c r="B34" s="547"/>
      <c r="C34" s="547"/>
      <c r="D34" s="547"/>
      <c r="E34" s="547"/>
      <c r="F34" s="547"/>
    </row>
    <row r="35" spans="2:6" x14ac:dyDescent="0.25">
      <c r="B35" s="547"/>
      <c r="C35" s="547"/>
      <c r="D35" s="547"/>
      <c r="E35" s="547"/>
      <c r="F35" s="547"/>
    </row>
    <row r="66" spans="10:10" x14ac:dyDescent="0.25">
      <c r="J66" t="s">
        <v>344</v>
      </c>
    </row>
  </sheetData>
  <sheetProtection password="CF27" sheet="1" objects="1" scenarios="1"/>
  <mergeCells count="1">
    <mergeCell ref="B31:F3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Current version</vt:lpstr>
      <vt:lpstr>Colony</vt:lpstr>
      <vt:lpstr>About this model</vt:lpstr>
      <vt:lpstr>Necessary mite reduction</vt:lpstr>
      <vt:lpstr>Notes for this version</vt:lpstr>
      <vt:lpstr>Relative rates of increase</vt:lpstr>
      <vt:lpstr>Data to evaluate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Randy Oliver</cp:lastModifiedBy>
  <dcterms:created xsi:type="dcterms:W3CDTF">2016-09-25T17:34:02Z</dcterms:created>
  <dcterms:modified xsi:type="dcterms:W3CDTF">2020-10-29T12:21:06Z</dcterms:modified>
</cp:coreProperties>
</file>