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05" windowWidth="19140" windowHeight="11835"/>
  </bookViews>
  <sheets>
    <sheet name="Current" sheetId="1" r:id="rId1"/>
  </sheets>
  <calcPr calcId="145621"/>
</workbook>
</file>

<file path=xl/calcChain.xml><?xml version="1.0" encoding="utf-8"?>
<calcChain xmlns="http://schemas.openxmlformats.org/spreadsheetml/2006/main">
  <c r="D15" i="1" l="1"/>
  <c r="AS56" i="1" l="1"/>
  <c r="AS55" i="1"/>
  <c r="AS54" i="1"/>
  <c r="AS53" i="1"/>
  <c r="AS52" i="1"/>
  <c r="AS51" i="1"/>
  <c r="AL51" i="1"/>
  <c r="AG51" i="1"/>
  <c r="D51" i="1"/>
  <c r="AS50" i="1"/>
  <c r="AL50" i="1"/>
  <c r="AG50" i="1"/>
  <c r="D50" i="1"/>
  <c r="AS49" i="1"/>
  <c r="AL49" i="1"/>
  <c r="AG49" i="1"/>
  <c r="D49" i="1"/>
  <c r="AS48" i="1"/>
  <c r="AL48" i="1"/>
  <c r="AG48" i="1"/>
  <c r="D48" i="1"/>
  <c r="AS47" i="1"/>
  <c r="AL47" i="1"/>
  <c r="AG47" i="1"/>
  <c r="D47" i="1"/>
  <c r="AS46" i="1"/>
  <c r="AL46" i="1"/>
  <c r="AG46" i="1"/>
  <c r="D46" i="1"/>
  <c r="AS45" i="1"/>
  <c r="AL45" i="1"/>
  <c r="AG45" i="1"/>
  <c r="D45" i="1"/>
  <c r="BE44" i="1"/>
  <c r="BE45" i="1" s="1"/>
  <c r="BE46" i="1" s="1"/>
  <c r="BE47" i="1" s="1"/>
  <c r="BE48" i="1" s="1"/>
  <c r="BE49" i="1" s="1"/>
  <c r="BE50" i="1" s="1"/>
  <c r="BE51" i="1" s="1"/>
  <c r="BE52" i="1" s="1"/>
  <c r="BE53" i="1" s="1"/>
  <c r="BE54" i="1" s="1"/>
  <c r="BE55" i="1" s="1"/>
  <c r="AS44" i="1"/>
  <c r="AL44" i="1"/>
  <c r="AG44" i="1"/>
  <c r="D44" i="1"/>
  <c r="AS43" i="1"/>
  <c r="AQ43" i="1"/>
  <c r="AQ44" i="1" s="1"/>
  <c r="AQ45" i="1" s="1"/>
  <c r="AQ46" i="1" s="1"/>
  <c r="AQ47" i="1" s="1"/>
  <c r="AQ48" i="1" s="1"/>
  <c r="AQ49" i="1" s="1"/>
  <c r="AQ50" i="1" s="1"/>
  <c r="AQ51" i="1" s="1"/>
  <c r="AQ52" i="1" s="1"/>
  <c r="AQ53" i="1" s="1"/>
  <c r="AQ54" i="1" s="1"/>
  <c r="AL43" i="1"/>
  <c r="AG43" i="1"/>
  <c r="D43" i="1"/>
  <c r="C43" i="1"/>
  <c r="AL42" i="1"/>
  <c r="V42" i="1"/>
  <c r="AH42" i="1" s="1"/>
  <c r="D42" i="1"/>
  <c r="BT41" i="1"/>
  <c r="BS41" i="1"/>
  <c r="BR41" i="1"/>
  <c r="BQ41" i="1"/>
  <c r="BP41" i="1"/>
  <c r="BO41" i="1"/>
  <c r="BN41" i="1"/>
  <c r="BM41" i="1"/>
  <c r="BL41" i="1"/>
  <c r="BK41" i="1"/>
  <c r="BJ41" i="1"/>
  <c r="BI41" i="1"/>
  <c r="BH41" i="1"/>
  <c r="BG41" i="1"/>
  <c r="AL41" i="1"/>
  <c r="AH41" i="1"/>
  <c r="V41" i="1"/>
  <c r="D41" i="1"/>
  <c r="C41" i="1"/>
  <c r="AL40" i="1"/>
  <c r="V40" i="1"/>
  <c r="AH40" i="1" s="1"/>
  <c r="E40" i="1"/>
  <c r="E41" i="1" s="1"/>
  <c r="E42" i="1" s="1"/>
  <c r="E43" i="1" s="1"/>
  <c r="E44" i="1" s="1"/>
  <c r="E45" i="1" s="1"/>
  <c r="E46" i="1" s="1"/>
  <c r="E47" i="1" s="1"/>
  <c r="E48" i="1" s="1"/>
  <c r="E49" i="1" s="1"/>
  <c r="E50" i="1" s="1"/>
  <c r="E51" i="1" s="1"/>
  <c r="D40" i="1"/>
  <c r="BH39" i="1"/>
  <c r="BI39" i="1" s="1"/>
  <c r="BJ39" i="1" s="1"/>
  <c r="BK39" i="1" s="1"/>
  <c r="BL39" i="1" s="1"/>
  <c r="BM39" i="1" s="1"/>
  <c r="BN39" i="1" s="1"/>
  <c r="BO39" i="1" s="1"/>
  <c r="BP39" i="1" s="1"/>
  <c r="BQ39" i="1" s="1"/>
  <c r="BR39" i="1" s="1"/>
  <c r="BS39" i="1" s="1"/>
  <c r="BT39" i="1" s="1"/>
  <c r="AL39" i="1"/>
  <c r="AI39" i="1"/>
  <c r="AF39" i="1"/>
  <c r="Y39" i="1"/>
  <c r="AG39" i="1" s="1"/>
  <c r="V39" i="1"/>
  <c r="AH39" i="1" s="1"/>
  <c r="U39" i="1"/>
  <c r="F39" i="1"/>
  <c r="BF43" i="1" s="1"/>
  <c r="D39" i="1"/>
  <c r="C39" i="1"/>
  <c r="AB39" i="1" s="1"/>
  <c r="AB26" i="1"/>
  <c r="AC26" i="1" s="1"/>
  <c r="AD26" i="1" s="1"/>
  <c r="E24" i="1"/>
  <c r="E25" i="1" s="1"/>
  <c r="E26" i="1" s="1"/>
  <c r="E27" i="1" s="1"/>
  <c r="E28" i="1" s="1"/>
  <c r="E29" i="1" s="1"/>
  <c r="E30" i="1" s="1"/>
  <c r="E31" i="1" s="1"/>
  <c r="E32" i="1" s="1"/>
  <c r="E33" i="1" s="1"/>
  <c r="E34" i="1" s="1"/>
  <c r="E35" i="1" s="1"/>
  <c r="D13" i="1"/>
  <c r="AC37" i="1" s="1"/>
  <c r="D11" i="1"/>
  <c r="T39" i="1" l="1"/>
  <c r="AE39" i="1" s="1"/>
  <c r="I42" i="1"/>
  <c r="I43" i="1" s="1"/>
  <c r="I44" i="1" s="1"/>
  <c r="I45" i="1" s="1"/>
  <c r="I46" i="1" s="1"/>
  <c r="I47" i="1" s="1"/>
  <c r="I48" i="1" s="1"/>
  <c r="I49" i="1" s="1"/>
  <c r="I50" i="1" s="1"/>
  <c r="I51" i="1" s="1"/>
  <c r="G40" i="1"/>
  <c r="U40" i="1" s="1"/>
  <c r="AF40" i="1" s="1"/>
  <c r="H41" i="1"/>
  <c r="H42" i="1" s="1"/>
  <c r="H43" i="1" s="1"/>
  <c r="H44" i="1" s="1"/>
  <c r="H45" i="1" s="1"/>
  <c r="H46" i="1" s="1"/>
  <c r="H47" i="1" s="1"/>
  <c r="H48" i="1" s="1"/>
  <c r="H49" i="1" s="1"/>
  <c r="H50" i="1" s="1"/>
  <c r="H51" i="1" s="1"/>
  <c r="J43" i="1"/>
  <c r="J44" i="1" s="1"/>
  <c r="J45" i="1" s="1"/>
  <c r="J46" i="1" s="1"/>
  <c r="J47" i="1" s="1"/>
  <c r="J48" i="1" s="1"/>
  <c r="J49" i="1" s="1"/>
  <c r="J50" i="1" s="1"/>
  <c r="J51" i="1" s="1"/>
  <c r="AK40" i="1"/>
  <c r="AB40" i="1"/>
  <c r="Y41" i="1"/>
  <c r="AG41" i="1" s="1"/>
  <c r="BU41" i="1"/>
  <c r="BT42" i="1" s="1"/>
  <c r="BT43" i="1" s="1"/>
  <c r="W39" i="1"/>
  <c r="AC39" i="1"/>
  <c r="G41" i="1"/>
  <c r="Y40" i="1"/>
  <c r="AG40" i="1" s="1"/>
  <c r="X39" i="1" l="1"/>
  <c r="AA39" i="1" s="1"/>
  <c r="AD39" i="1" s="1"/>
  <c r="Z40" i="1" s="1"/>
  <c r="BT53" i="1"/>
  <c r="BT51" i="1"/>
  <c r="BT56" i="1"/>
  <c r="BT55" i="1"/>
  <c r="BT49" i="1"/>
  <c r="BT54" i="1"/>
  <c r="BT52" i="1"/>
  <c r="BT48" i="1"/>
  <c r="BT47" i="1"/>
  <c r="BT50" i="1"/>
  <c r="BT46" i="1"/>
  <c r="BT45" i="1"/>
  <c r="BT44" i="1"/>
  <c r="U41" i="1"/>
  <c r="AF41" i="1" s="1"/>
  <c r="G42" i="1"/>
  <c r="BK42" i="1"/>
  <c r="BK43" i="1" s="1"/>
  <c r="BJ42" i="1"/>
  <c r="BJ43" i="1" s="1"/>
  <c r="BQ42" i="1"/>
  <c r="BQ43" i="1" s="1"/>
  <c r="BI42" i="1"/>
  <c r="BI43" i="1" s="1"/>
  <c r="BM42" i="1"/>
  <c r="BM43" i="1" s="1"/>
  <c r="BP42" i="1"/>
  <c r="BP43" i="1" s="1"/>
  <c r="BS42" i="1"/>
  <c r="BS43" i="1" s="1"/>
  <c r="BG42" i="1"/>
  <c r="BR42" i="1"/>
  <c r="BR43" i="1" s="1"/>
  <c r="AC40" i="1"/>
  <c r="AK41" i="1"/>
  <c r="AB41" i="1"/>
  <c r="BL42" i="1"/>
  <c r="BL43" i="1" s="1"/>
  <c r="BO42" i="1"/>
  <c r="BO43" i="1" s="1"/>
  <c r="BN42" i="1"/>
  <c r="BN43" i="1" s="1"/>
  <c r="BH42" i="1"/>
  <c r="BH43" i="1" s="1"/>
  <c r="BH53" i="1" l="1"/>
  <c r="BH51" i="1"/>
  <c r="BH56" i="1"/>
  <c r="BH55" i="1"/>
  <c r="BH49" i="1"/>
  <c r="BH54" i="1"/>
  <c r="BH52" i="1"/>
  <c r="BH48" i="1"/>
  <c r="BH47" i="1"/>
  <c r="BH50" i="1"/>
  <c r="BH46" i="1"/>
  <c r="BH45" i="1"/>
  <c r="BH44" i="1"/>
  <c r="BL53" i="1"/>
  <c r="BL51" i="1"/>
  <c r="BL56" i="1"/>
  <c r="BL55" i="1"/>
  <c r="BL49" i="1"/>
  <c r="BL54" i="1"/>
  <c r="BL52" i="1"/>
  <c r="BL48" i="1"/>
  <c r="BL47" i="1"/>
  <c r="BL50" i="1"/>
  <c r="BL46" i="1"/>
  <c r="BL45" i="1"/>
  <c r="BL44" i="1"/>
  <c r="BP53" i="1"/>
  <c r="BP51" i="1"/>
  <c r="BP56" i="1"/>
  <c r="BP55" i="1"/>
  <c r="BP49" i="1"/>
  <c r="BP54" i="1"/>
  <c r="BP52" i="1"/>
  <c r="BP48" i="1"/>
  <c r="BP47" i="1"/>
  <c r="BP50" i="1"/>
  <c r="BP45" i="1"/>
  <c r="BP46" i="1"/>
  <c r="BP44" i="1"/>
  <c r="BM56" i="1"/>
  <c r="BM55" i="1"/>
  <c r="BM49" i="1"/>
  <c r="BM54" i="1"/>
  <c r="BM52" i="1"/>
  <c r="BM50" i="1"/>
  <c r="BM53" i="1"/>
  <c r="BM51" i="1"/>
  <c r="BM47" i="1"/>
  <c r="BM46" i="1"/>
  <c r="BM48" i="1"/>
  <c r="BM45" i="1"/>
  <c r="BM44" i="1"/>
  <c r="BK50" i="1"/>
  <c r="BK53" i="1"/>
  <c r="BK51" i="1"/>
  <c r="BK56" i="1"/>
  <c r="BK55" i="1"/>
  <c r="BK49" i="1"/>
  <c r="BK46" i="1"/>
  <c r="BK54" i="1"/>
  <c r="BK52" i="1"/>
  <c r="BK48" i="1"/>
  <c r="BK47" i="1"/>
  <c r="BK44" i="1"/>
  <c r="BK45" i="1"/>
  <c r="BN54" i="1"/>
  <c r="BN52" i="1"/>
  <c r="BN48" i="1"/>
  <c r="BN47" i="1"/>
  <c r="BN50" i="1"/>
  <c r="BN53" i="1"/>
  <c r="BN51" i="1"/>
  <c r="BN56" i="1"/>
  <c r="BN55" i="1"/>
  <c r="BN49" i="1"/>
  <c r="BN45" i="1"/>
  <c r="BN46" i="1"/>
  <c r="BN44" i="1"/>
  <c r="BR54" i="1"/>
  <c r="BR52" i="1"/>
  <c r="BR48" i="1"/>
  <c r="BR47" i="1"/>
  <c r="BR50" i="1"/>
  <c r="BR53" i="1"/>
  <c r="BR51" i="1"/>
  <c r="BR56" i="1"/>
  <c r="BR55" i="1"/>
  <c r="BR49" i="1"/>
  <c r="BR45" i="1"/>
  <c r="BR46" i="1"/>
  <c r="BR44" i="1"/>
  <c r="BI56" i="1"/>
  <c r="BI55" i="1"/>
  <c r="BI49" i="1"/>
  <c r="BI54" i="1"/>
  <c r="BI52" i="1"/>
  <c r="BI50" i="1"/>
  <c r="BI53" i="1"/>
  <c r="BI51" i="1"/>
  <c r="BI48" i="1"/>
  <c r="BI47" i="1"/>
  <c r="BI46" i="1"/>
  <c r="BI45" i="1"/>
  <c r="BI44" i="1"/>
  <c r="G43" i="1"/>
  <c r="U42" i="1"/>
  <c r="AF42" i="1" s="1"/>
  <c r="BO50" i="1"/>
  <c r="BO53" i="1"/>
  <c r="BO51" i="1"/>
  <c r="BO56" i="1"/>
  <c r="BO55" i="1"/>
  <c r="BO49" i="1"/>
  <c r="BO46" i="1"/>
  <c r="BO54" i="1"/>
  <c r="BO52" i="1"/>
  <c r="BO48" i="1"/>
  <c r="BO44" i="1"/>
  <c r="BO47" i="1"/>
  <c r="BO45" i="1"/>
  <c r="AC41" i="1"/>
  <c r="AK42" i="1"/>
  <c r="AB42" i="1"/>
  <c r="BG43" i="1"/>
  <c r="BU42" i="1"/>
  <c r="AI40" i="1"/>
  <c r="BQ56" i="1"/>
  <c r="BQ55" i="1"/>
  <c r="BQ49" i="1"/>
  <c r="BQ54" i="1"/>
  <c r="BQ52" i="1"/>
  <c r="BQ50" i="1"/>
  <c r="BQ53" i="1"/>
  <c r="BQ51" i="1"/>
  <c r="BQ48" i="1"/>
  <c r="BQ46" i="1"/>
  <c r="BQ47" i="1"/>
  <c r="BQ44" i="1"/>
  <c r="BQ45" i="1"/>
  <c r="Y42" i="1"/>
  <c r="AG42" i="1" s="1"/>
  <c r="BS50" i="1"/>
  <c r="BS53" i="1"/>
  <c r="BS51" i="1"/>
  <c r="BS56" i="1"/>
  <c r="BS55" i="1"/>
  <c r="BS49" i="1"/>
  <c r="BS46" i="1"/>
  <c r="BS54" i="1"/>
  <c r="BS52" i="1"/>
  <c r="BS48" i="1"/>
  <c r="BS47" i="1"/>
  <c r="BS44" i="1"/>
  <c r="BS45" i="1"/>
  <c r="BJ54" i="1"/>
  <c r="BJ52" i="1"/>
  <c r="BJ48" i="1"/>
  <c r="BJ47" i="1"/>
  <c r="BJ50" i="1"/>
  <c r="BJ53" i="1"/>
  <c r="BJ51" i="1"/>
  <c r="BJ56" i="1"/>
  <c r="BJ55" i="1"/>
  <c r="BJ49" i="1"/>
  <c r="BJ46" i="1"/>
  <c r="BJ45" i="1"/>
  <c r="BJ44" i="1"/>
  <c r="U43" i="1" l="1"/>
  <c r="AF43" i="1" s="1"/>
  <c r="G44" i="1"/>
  <c r="BG50" i="1"/>
  <c r="BU50" i="1" s="1"/>
  <c r="F46" i="1" s="1"/>
  <c r="T46" i="1" s="1"/>
  <c r="BG53" i="1"/>
  <c r="BU53" i="1" s="1"/>
  <c r="F49" i="1" s="1"/>
  <c r="T49" i="1" s="1"/>
  <c r="BG51" i="1"/>
  <c r="BU51" i="1" s="1"/>
  <c r="F47" i="1" s="1"/>
  <c r="T47" i="1" s="1"/>
  <c r="BG56" i="1"/>
  <c r="BU56" i="1" s="1"/>
  <c r="BG55" i="1"/>
  <c r="BU55" i="1" s="1"/>
  <c r="F51" i="1" s="1"/>
  <c r="T51" i="1" s="1"/>
  <c r="BG49" i="1"/>
  <c r="BU49" i="1" s="1"/>
  <c r="F45" i="1" s="1"/>
  <c r="T45" i="1" s="1"/>
  <c r="BG46" i="1"/>
  <c r="BU46" i="1" s="1"/>
  <c r="F42" i="1" s="1"/>
  <c r="T42" i="1" s="1"/>
  <c r="BG54" i="1"/>
  <c r="BU54" i="1" s="1"/>
  <c r="F50" i="1" s="1"/>
  <c r="T50" i="1" s="1"/>
  <c r="BG52" i="1"/>
  <c r="BU52" i="1" s="1"/>
  <c r="F48" i="1" s="1"/>
  <c r="T48" i="1" s="1"/>
  <c r="BG48" i="1"/>
  <c r="BU48" i="1" s="1"/>
  <c r="F44" i="1" s="1"/>
  <c r="T44" i="1" s="1"/>
  <c r="BG44" i="1"/>
  <c r="BU44" i="1" s="1"/>
  <c r="F40" i="1" s="1"/>
  <c r="T40" i="1" s="1"/>
  <c r="BG47" i="1"/>
  <c r="BU47" i="1" s="1"/>
  <c r="F43" i="1" s="1"/>
  <c r="T43" i="1" s="1"/>
  <c r="BU43" i="1"/>
  <c r="BG45" i="1"/>
  <c r="BU45" i="1" s="1"/>
  <c r="F41" i="1" s="1"/>
  <c r="T41" i="1" s="1"/>
  <c r="AK43" i="1"/>
  <c r="AB43" i="1"/>
  <c r="AC42" i="1"/>
  <c r="AE41" i="1" l="1"/>
  <c r="W41" i="1"/>
  <c r="AE44" i="1"/>
  <c r="AE45" i="1"/>
  <c r="AE49" i="1"/>
  <c r="AC43" i="1"/>
  <c r="AK44" i="1"/>
  <c r="AB44" i="1"/>
  <c r="AE48" i="1"/>
  <c r="AE51" i="1"/>
  <c r="AE46" i="1"/>
  <c r="AE43" i="1"/>
  <c r="AE50" i="1"/>
  <c r="G45" i="1"/>
  <c r="U44" i="1"/>
  <c r="AF44" i="1" s="1"/>
  <c r="AE40" i="1"/>
  <c r="W40" i="1"/>
  <c r="AE42" i="1"/>
  <c r="W42" i="1"/>
  <c r="X42" i="1" s="1"/>
  <c r="AE47" i="1"/>
  <c r="X40" i="1" l="1"/>
  <c r="AA40" i="1" s="1"/>
  <c r="AD40" i="1" s="1"/>
  <c r="X41" i="1"/>
  <c r="AK45" i="1"/>
  <c r="AB45" i="1"/>
  <c r="AC44" i="1"/>
  <c r="U45" i="1"/>
  <c r="G46" i="1"/>
  <c r="Z41" i="1" l="1"/>
  <c r="AI41" i="1" s="1"/>
  <c r="K43" i="1"/>
  <c r="AF45" i="1"/>
  <c r="AB46" i="1"/>
  <c r="AK46" i="1"/>
  <c r="AC45" i="1"/>
  <c r="U46" i="1"/>
  <c r="G47" i="1"/>
  <c r="V43" i="1" l="1"/>
  <c r="K44" i="1"/>
  <c r="AA41" i="1"/>
  <c r="AD41" i="1" s="1"/>
  <c r="U47" i="1"/>
  <c r="G48" i="1"/>
  <c r="AF46" i="1"/>
  <c r="AK47" i="1"/>
  <c r="AC46" i="1"/>
  <c r="AB47" i="1"/>
  <c r="Z42" i="1" l="1"/>
  <c r="L44" i="1"/>
  <c r="L45" i="1" s="1"/>
  <c r="L46" i="1" s="1"/>
  <c r="L47" i="1" s="1"/>
  <c r="K45" i="1"/>
  <c r="K46" i="1" s="1"/>
  <c r="K47" i="1" s="1"/>
  <c r="K48" i="1" s="1"/>
  <c r="K49" i="1" s="1"/>
  <c r="V44" i="1"/>
  <c r="AH43" i="1"/>
  <c r="W43" i="1"/>
  <c r="X43" i="1" s="1"/>
  <c r="AK48" i="1"/>
  <c r="AB48" i="1"/>
  <c r="AC47" i="1"/>
  <c r="U48" i="1"/>
  <c r="G49" i="1"/>
  <c r="AF47" i="1"/>
  <c r="AH44" i="1" l="1"/>
  <c r="W44" i="1"/>
  <c r="X44" i="1" s="1"/>
  <c r="AI42" i="1"/>
  <c r="AA42" i="1"/>
  <c r="AD42" i="1" s="1"/>
  <c r="G50" i="1"/>
  <c r="U49" i="1"/>
  <c r="AF48" i="1"/>
  <c r="AK49" i="1"/>
  <c r="AB49" i="1"/>
  <c r="AC48" i="1"/>
  <c r="K50" i="1"/>
  <c r="L48" i="1"/>
  <c r="M45" i="1" l="1"/>
  <c r="Z43" i="1"/>
  <c r="L49" i="1"/>
  <c r="AK50" i="1"/>
  <c r="AB50" i="1"/>
  <c r="AC49" i="1"/>
  <c r="AF49" i="1"/>
  <c r="K51" i="1"/>
  <c r="G51" i="1"/>
  <c r="U51" i="1" s="1"/>
  <c r="U50" i="1"/>
  <c r="AA43" i="1" l="1"/>
  <c r="AD43" i="1" s="1"/>
  <c r="AI43" i="1"/>
  <c r="M46" i="1"/>
  <c r="V45" i="1"/>
  <c r="AF50" i="1"/>
  <c r="AF51" i="1"/>
  <c r="L50" i="1"/>
  <c r="AC50" i="1"/>
  <c r="AK51" i="1"/>
  <c r="AB51" i="1"/>
  <c r="AH45" i="1" l="1"/>
  <c r="W45" i="1"/>
  <c r="X45" i="1" s="1"/>
  <c r="M47" i="1"/>
  <c r="M48" i="1" s="1"/>
  <c r="M49" i="1" s="1"/>
  <c r="M50" i="1" s="1"/>
  <c r="M51" i="1" s="1"/>
  <c r="V46" i="1"/>
  <c r="N46" i="1"/>
  <c r="N47" i="1" s="1"/>
  <c r="N48" i="1" s="1"/>
  <c r="Z44" i="1"/>
  <c r="AC51" i="1"/>
  <c r="N49" i="1"/>
  <c r="L51" i="1"/>
  <c r="W46" i="1" l="1"/>
  <c r="X46" i="1" s="1"/>
  <c r="AH46" i="1"/>
  <c r="AA44" i="1"/>
  <c r="AD44" i="1" s="1"/>
  <c r="AI44" i="1"/>
  <c r="N50" i="1"/>
  <c r="O47" i="1" l="1"/>
  <c r="Z45" i="1"/>
  <c r="N51" i="1"/>
  <c r="AA45" i="1" l="1"/>
  <c r="AD45" i="1" s="1"/>
  <c r="AI45" i="1"/>
  <c r="O48" i="1"/>
  <c r="V47" i="1"/>
  <c r="W47" i="1" l="1"/>
  <c r="X47" i="1" s="1"/>
  <c r="AH47" i="1"/>
  <c r="O49" i="1"/>
  <c r="O50" i="1" s="1"/>
  <c r="O51" i="1" s="1"/>
  <c r="P48" i="1"/>
  <c r="P49" i="1" s="1"/>
  <c r="P50" i="1" s="1"/>
  <c r="P51" i="1" s="1"/>
  <c r="Z46" i="1"/>
  <c r="V48" i="1" l="1"/>
  <c r="AH48" i="1" s="1"/>
  <c r="AA46" i="1"/>
  <c r="AD46" i="1" s="1"/>
  <c r="AI46" i="1"/>
  <c r="W48" i="1" l="1"/>
  <c r="X48" i="1" s="1"/>
  <c r="Z47" i="1"/>
  <c r="Q49" i="1"/>
  <c r="Q50" i="1" l="1"/>
  <c r="V49" i="1"/>
  <c r="AA47" i="1"/>
  <c r="AD47" i="1" s="1"/>
  <c r="AI47" i="1"/>
  <c r="R50" i="1" l="1"/>
  <c r="R51" i="1" s="1"/>
  <c r="Z48" i="1"/>
  <c r="AH49" i="1"/>
  <c r="W49" i="1"/>
  <c r="X49" i="1" s="1"/>
  <c r="Q51" i="1"/>
  <c r="V50" i="1"/>
  <c r="AH50" i="1" l="1"/>
  <c r="W50" i="1"/>
  <c r="X50" i="1" s="1"/>
  <c r="AA48" i="1"/>
  <c r="AD48" i="1" s="1"/>
  <c r="AI48" i="1"/>
  <c r="S51" i="1" l="1"/>
  <c r="V51" i="1" s="1"/>
  <c r="Z49" i="1"/>
  <c r="AI49" i="1" l="1"/>
  <c r="AA49" i="1"/>
  <c r="AD49" i="1" s="1"/>
  <c r="Z50" i="1" s="1"/>
  <c r="W51" i="1"/>
  <c r="X51" i="1" s="1"/>
  <c r="AH51" i="1"/>
  <c r="AA50" i="1" l="1"/>
  <c r="AD50" i="1" s="1"/>
  <c r="Z51" i="1" s="1"/>
  <c r="AI50" i="1"/>
  <c r="AI51" i="1" l="1"/>
  <c r="AA51" i="1"/>
  <c r="AD51" i="1" s="1"/>
</calcChain>
</file>

<file path=xl/sharedStrings.xml><?xml version="1.0" encoding="utf-8"?>
<sst xmlns="http://schemas.openxmlformats.org/spreadsheetml/2006/main" count="111" uniqueCount="85">
  <si>
    <t>Enter values into any yellow cell.</t>
  </si>
  <si>
    <r>
      <t xml:space="preserve">Enter the initial </t>
    </r>
    <r>
      <rPr>
        <b/>
        <i/>
        <sz val="11"/>
        <color theme="1"/>
        <rFont val="Calibri"/>
        <family val="2"/>
        <scheme val="minor"/>
      </rPr>
      <t>total</t>
    </r>
    <r>
      <rPr>
        <sz val="11"/>
        <color theme="1"/>
        <rFont val="Calibri"/>
        <family val="2"/>
        <scheme val="minor"/>
      </rPr>
      <t xml:space="preserve"> number of deep comb  </t>
    </r>
    <r>
      <rPr>
        <b/>
        <i/>
        <sz val="11"/>
        <color theme="1"/>
        <rFont val="Calibri"/>
        <family val="2"/>
        <scheme val="minor"/>
      </rPr>
      <t xml:space="preserve">solidly </t>
    </r>
    <r>
      <rPr>
        <sz val="11"/>
        <color theme="1"/>
        <rFont val="Calibri"/>
        <family val="2"/>
        <scheme val="minor"/>
      </rPr>
      <t xml:space="preserve">covered by the cluster of bees after the nuc has settled down (check the outer two combs).  Fractional values OK --for example, "4.5". </t>
    </r>
  </si>
  <si>
    <t>Frames fully  covered with bees</t>
  </si>
  <si>
    <t xml:space="preserve">Cluster size </t>
  </si>
  <si>
    <r>
      <t>Enter the initial number of frames of brood equivalent to 65% coverage on both sides (</t>
    </r>
    <r>
      <rPr>
        <b/>
        <i/>
        <sz val="11"/>
        <color theme="1"/>
        <rFont val="Calibri"/>
        <family val="2"/>
        <scheme val="minor"/>
      </rPr>
      <t>don't overestimate--see photo below</t>
    </r>
    <r>
      <rPr>
        <sz val="11"/>
        <color theme="1"/>
        <rFont val="Calibri"/>
        <family val="2"/>
        <scheme val="minor"/>
      </rPr>
      <t>).  The outer two  combs generally won't contain brood (to prevent chilling and to allow for food storage). Fractional values OK --e.g., "2.5").</t>
    </r>
  </si>
  <si>
    <t>Don't overestimate</t>
  </si>
  <si>
    <t>Frames of brood @ 65% coverage</t>
  </si>
  <si>
    <r>
      <t>Enter the laying condition of the queen given to the nuc.  Enter "</t>
    </r>
    <r>
      <rPr>
        <b/>
        <sz val="11"/>
        <color theme="1"/>
        <rFont val="Calibri"/>
        <family val="2"/>
        <scheme val="minor"/>
      </rPr>
      <t>L"</t>
    </r>
    <r>
      <rPr>
        <sz val="11"/>
        <color theme="1"/>
        <rFont val="Calibri"/>
        <family val="2"/>
        <scheme val="minor"/>
      </rPr>
      <t xml:space="preserve"> for nuc given a mated laying queen, "</t>
    </r>
    <r>
      <rPr>
        <b/>
        <sz val="11"/>
        <color theme="1"/>
        <rFont val="Calibri"/>
        <family val="2"/>
        <scheme val="minor"/>
      </rPr>
      <t>C"</t>
    </r>
    <r>
      <rPr>
        <sz val="11"/>
        <color theme="1"/>
        <rFont val="Calibri"/>
        <family val="2"/>
        <scheme val="minor"/>
      </rPr>
      <t xml:space="preserve"> for a ripe queen cell, or "</t>
    </r>
    <r>
      <rPr>
        <b/>
        <sz val="11"/>
        <color theme="1"/>
        <rFont val="Calibri"/>
        <family val="2"/>
        <scheme val="minor"/>
      </rPr>
      <t>W"</t>
    </r>
    <r>
      <rPr>
        <sz val="11"/>
        <color theme="1"/>
        <rFont val="Calibri"/>
        <family val="2"/>
        <scheme val="minor"/>
      </rPr>
      <t xml:space="preserve"> for a  walkaway split needing to rear its own queen.</t>
    </r>
  </si>
  <si>
    <t>C</t>
  </si>
  <si>
    <t>Type of queen</t>
  </si>
  <si>
    <r>
      <t>Quality of the queen.  This is difficult to predict.  Enter "</t>
    </r>
    <r>
      <rPr>
        <b/>
        <sz val="11"/>
        <color theme="1"/>
        <rFont val="Calibri"/>
        <family val="2"/>
        <scheme val="minor"/>
      </rPr>
      <t>G</t>
    </r>
    <r>
      <rPr>
        <sz val="11"/>
        <color theme="1"/>
        <rFont val="Calibri"/>
        <family val="2"/>
        <scheme val="minor"/>
      </rPr>
      <t>" for a "Good" prolific  queen from commercially-bred stock,  or "</t>
    </r>
    <r>
      <rPr>
        <b/>
        <sz val="11"/>
        <color theme="1"/>
        <rFont val="Calibri"/>
        <family val="2"/>
        <scheme val="minor"/>
      </rPr>
      <t>A</t>
    </r>
    <r>
      <rPr>
        <sz val="11"/>
        <color theme="1"/>
        <rFont val="Calibri"/>
        <family val="2"/>
        <scheme val="minor"/>
      </rPr>
      <t>" for an average queen, "</t>
    </r>
    <r>
      <rPr>
        <b/>
        <sz val="11"/>
        <color theme="1"/>
        <rFont val="Calibri"/>
        <family val="2"/>
        <scheme val="minor"/>
      </rPr>
      <t>E</t>
    </r>
    <r>
      <rPr>
        <sz val="11"/>
        <color theme="1"/>
        <rFont val="Calibri"/>
        <family val="2"/>
        <scheme val="minor"/>
      </rPr>
      <t>" for an "Exceptional" queen that can fill 10 frames with brood (these rates are short term during buildup).</t>
    </r>
  </si>
  <si>
    <t>G</t>
  </si>
  <si>
    <t>Queen quality--potential eggs/day</t>
  </si>
  <si>
    <r>
      <t xml:space="preserve">The </t>
    </r>
    <r>
      <rPr>
        <i/>
        <sz val="11"/>
        <color theme="1"/>
        <rFont val="Calibri"/>
        <family val="2"/>
        <scheme val="minor"/>
      </rPr>
      <t xml:space="preserve">actual </t>
    </r>
    <r>
      <rPr>
        <sz val="11"/>
        <color theme="1"/>
        <rFont val="Calibri"/>
        <family val="2"/>
        <scheme val="minor"/>
      </rPr>
      <t>brood production is largely determined by the nurse bees, and is relative to temperature, amount of open comb, weather, and the amount of incoming pollen and nectar.   Enter "</t>
    </r>
    <r>
      <rPr>
        <b/>
        <sz val="11"/>
        <color theme="1"/>
        <rFont val="Calibri"/>
        <family val="2"/>
        <scheme val="minor"/>
      </rPr>
      <t>A</t>
    </r>
    <r>
      <rPr>
        <sz val="11"/>
        <color theme="1"/>
        <rFont val="Calibri"/>
        <family val="2"/>
        <scheme val="minor"/>
      </rPr>
      <t>" for average conditions, "</t>
    </r>
    <r>
      <rPr>
        <b/>
        <sz val="11"/>
        <color theme="1"/>
        <rFont val="Calibri"/>
        <family val="2"/>
        <scheme val="minor"/>
      </rPr>
      <t>P</t>
    </r>
    <r>
      <rPr>
        <sz val="11"/>
        <color theme="1"/>
        <rFont val="Calibri"/>
        <family val="2"/>
        <scheme val="minor"/>
      </rPr>
      <t>" for perfect warm weather and bloom, or "</t>
    </r>
    <r>
      <rPr>
        <b/>
        <sz val="11"/>
        <color theme="1"/>
        <rFont val="Calibri"/>
        <family val="2"/>
        <scheme val="minor"/>
      </rPr>
      <t>C</t>
    </r>
    <r>
      <rPr>
        <sz val="11"/>
        <color theme="1"/>
        <rFont val="Calibri"/>
        <family val="2"/>
        <scheme val="minor"/>
      </rPr>
      <t>" for cold* or rainy weather or suboptional forage.</t>
    </r>
  </si>
  <si>
    <t>A</t>
  </si>
  <si>
    <t>Weather and bloom conditions</t>
  </si>
  <si>
    <t>*Temperature affects how much brood the cluster can keep warm.</t>
  </si>
  <si>
    <t>Optional: put an "x" in the yellow cell below that represents the number of days after making the nuc until the main honeyflow begins.</t>
  </si>
  <si>
    <t>The simulation above is based upon the queen's egglaying rate, the weather, and the expected survivorship of the worker bees.  The intended use of this calculator is not so much to predict exactly what will happen, but rather to theoretically determine how best to put together your nucs.</t>
  </si>
  <si>
    <t>Assumptions of the model</t>
  </si>
  <si>
    <t>The model assumes using deep Langstroth frames (reduce by 1/3rd for mediums).</t>
  </si>
  <si>
    <t>The simulations assume buildup during the lengthening days of springtime; buildup may be slower at other times of the season (reduce egglaying rate).</t>
  </si>
  <si>
    <t>That the queen will lay eggs continuously and to her full entered potential, limited only by the number of available cells that the cluster can thermoregulate.</t>
  </si>
  <si>
    <t>That the colony is continually provided with frames of drawn comb to allow the colony to expand to its full potential.</t>
  </si>
  <si>
    <t>That the cluster size is not limited by cold weather.</t>
  </si>
  <si>
    <t>Number of adult bees per fully-covered  deep Langstroth frame)</t>
  </si>
  <si>
    <t>Number of cells of brood of all ages per frame--assumes 65% typical coverage</t>
  </si>
  <si>
    <t>That the survivorship curve of adult bees follows that elaborated by Lloyd Harris. Harris, JL (2010) The effect of requeening in late July on honey bee colony development on the Northern Great Plains of North America after removal from an indoor winter storage facility.  Journal of Apicultural Research and Bee World 49(2): 159-169.</t>
  </si>
  <si>
    <t>That adult bees emerging to a colony without young larvae will have a survivorship curve of 95% over each 6-day period until there is brood, at which point they will begin the normal survivorship rates.</t>
  </si>
  <si>
    <t>x</t>
  </si>
  <si>
    <t>Temperature</t>
  </si>
  <si>
    <t>Remaining original adults</t>
  </si>
  <si>
    <t>Adults emerged from original brood</t>
  </si>
  <si>
    <t>Adults from brood of new queen</t>
  </si>
  <si>
    <t>Adults from original brood</t>
  </si>
  <si>
    <t>Adults from new queen</t>
  </si>
  <si>
    <t>Total adult pop</t>
  </si>
  <si>
    <t>Potential brood cells*</t>
  </si>
  <si>
    <t>Remain'g original brood</t>
  </si>
  <si>
    <t>Occupied cells new brood</t>
  </si>
  <si>
    <t>Cells free</t>
  </si>
  <si>
    <t>*Queen laying?</t>
  </si>
  <si>
    <t>Potential laying</t>
  </si>
  <si>
    <t>Eggs actually laid</t>
  </si>
  <si>
    <t>Frames original adults</t>
  </si>
  <si>
    <t>Frames adults from orig brood</t>
  </si>
  <si>
    <t>Frames starting brood</t>
  </si>
  <si>
    <t>Frames new adults</t>
  </si>
  <si>
    <t>Frames new brood</t>
  </si>
  <si>
    <t>Date of flow</t>
  </si>
  <si>
    <r>
      <t xml:space="preserve">Cohort </t>
    </r>
    <r>
      <rPr>
        <sz val="11"/>
        <color theme="1"/>
        <rFont val="Wingdings"/>
        <charset val="2"/>
      </rPr>
      <t>ð</t>
    </r>
  </si>
  <si>
    <t>B</t>
  </si>
  <si>
    <t>D</t>
  </si>
  <si>
    <t>E</t>
  </si>
  <si>
    <t>F</t>
  </si>
  <si>
    <t>H</t>
  </si>
  <si>
    <t>I</t>
  </si>
  <si>
    <t>J</t>
  </si>
  <si>
    <t>K</t>
  </si>
  <si>
    <t>L</t>
  </si>
  <si>
    <t>M</t>
  </si>
  <si>
    <t>N</t>
  </si>
  <si>
    <t xml:space="preserve">Adult survivorship </t>
  </si>
  <si>
    <t>Survivorship of Cohort A--starting adults</t>
  </si>
  <si>
    <t>Day</t>
  </si>
  <si>
    <t>Cohort</t>
  </si>
  <si>
    <t>Nursing?</t>
  </si>
  <si>
    <t>% survivng</t>
  </si>
  <si>
    <t>Rework of Harris survivorship curve</t>
  </si>
  <si>
    <t>Y</t>
  </si>
  <si>
    <t>% surv</t>
  </si>
  <si>
    <t>% surv of orig</t>
  </si>
  <si>
    <t>% of previous</t>
  </si>
  <si>
    <t>% of cohort</t>
  </si>
  <si>
    <r>
      <rPr>
        <sz val="11"/>
        <color rgb="FFFF0000"/>
        <rFont val="Calibri"/>
        <family val="2"/>
        <scheme val="minor"/>
      </rPr>
      <t>*</t>
    </r>
    <r>
      <rPr>
        <b/>
        <sz val="11"/>
        <color rgb="FFFF0000"/>
        <rFont val="Calibri"/>
        <family val="2"/>
        <scheme val="minor"/>
      </rPr>
      <t>Assumes that frames are added so as to not restrict the queen</t>
    </r>
  </si>
  <si>
    <t>Total</t>
  </si>
  <si>
    <t>SURVIVORSHIP CURVES FOR COHORTS FROM ORIGINAL BROOD (% of previous value)</t>
  </si>
  <si>
    <t>Dependent upon presence of brood upon emergence</t>
  </si>
  <si>
    <t>If "L" (laying queen), then normal</t>
  </si>
  <si>
    <t>If "C" (cell), then 95% surv for first two time periods, then normal survivorship</t>
  </si>
  <si>
    <t>If "W" (walkaway), then 95% survival until 30 days, then normal survivorship</t>
  </si>
  <si>
    <t>W</t>
  </si>
  <si>
    <t>That a growing colony tends to maintain as many total cells of brood as 2x the adult population (based upon Lloyd Harris' data), the model uses 1x when temp is cool, 2x when warm</t>
  </si>
  <si>
    <t>The simulations are for comparative purposes, rather than prediction of exact rates of growth.</t>
  </si>
  <si>
    <r>
      <t xml:space="preserve">NUC GROWTH ESTIMATOR  </t>
    </r>
    <r>
      <rPr>
        <sz val="16"/>
        <color theme="1"/>
        <rFont val="Calibri"/>
        <family val="2"/>
        <scheme val="minor"/>
      </rPr>
      <t>A simple model to estimate the potential growth of various nuc configurations under different conditions.  Copyright ScientificBeekeeping.com, Randy Oliver 2018.  Thanks to Lloyd Harris for the adult survivorship curve.</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</si>
</sst>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0.00000"/>
    <numFmt numFmtId="167" formatCode="0.000000"/>
    <numFmt numFmtId="168" formatCode="0.0000000"/>
  </numFmts>
  <fonts count="16" x14ac:knownFonts="1">
    <font>
      <sz val="11"/>
      <color theme="1"/>
      <name val="Calibri"/>
      <family val="2"/>
      <scheme val="minor"/>
    </font>
    <font>
      <sz val="11"/>
      <color rgb="FFFF0000"/>
      <name val="Calibri"/>
      <family val="2"/>
      <scheme val="minor"/>
    </font>
    <font>
      <b/>
      <sz val="11"/>
      <color theme="1"/>
      <name val="Calibri"/>
      <family val="2"/>
      <scheme val="minor"/>
    </font>
    <font>
      <b/>
      <sz val="18"/>
      <color theme="1"/>
      <name val="Calibri"/>
      <family val="2"/>
      <scheme val="minor"/>
    </font>
    <font>
      <sz val="14"/>
      <color theme="1"/>
      <name val="Calibri"/>
      <family val="2"/>
      <scheme val="minor"/>
    </font>
    <font>
      <sz val="16"/>
      <color theme="1"/>
      <name val="Calibri"/>
      <family val="2"/>
      <scheme val="minor"/>
    </font>
    <font>
      <sz val="12"/>
      <color theme="1"/>
      <name val="Calibri"/>
      <family val="2"/>
      <scheme val="minor"/>
    </font>
    <font>
      <b/>
      <sz val="12"/>
      <color rgb="FFFF0000"/>
      <name val="Calibri"/>
      <family val="2"/>
      <scheme val="minor"/>
    </font>
    <font>
      <b/>
      <i/>
      <sz val="11"/>
      <color theme="1"/>
      <name val="Calibri"/>
      <family val="2"/>
      <scheme val="minor"/>
    </font>
    <font>
      <i/>
      <sz val="11"/>
      <color rgb="FF0070C0"/>
      <name val="Calibri"/>
      <family val="2"/>
      <scheme val="minor"/>
    </font>
    <font>
      <b/>
      <sz val="24"/>
      <color theme="1"/>
      <name val="Calibri"/>
      <family val="2"/>
      <scheme val="minor"/>
    </font>
    <font>
      <b/>
      <sz val="11"/>
      <color rgb="FF0070C0"/>
      <name val="Calibri"/>
      <family val="2"/>
      <scheme val="minor"/>
    </font>
    <font>
      <i/>
      <sz val="11"/>
      <color theme="1"/>
      <name val="Calibri"/>
      <family val="2"/>
      <scheme val="minor"/>
    </font>
    <font>
      <b/>
      <sz val="11"/>
      <color rgb="FF002060"/>
      <name val="Calibri"/>
      <family val="2"/>
      <scheme val="minor"/>
    </font>
    <font>
      <b/>
      <sz val="11"/>
      <color rgb="FFFF0000"/>
      <name val="Calibri"/>
      <family val="2"/>
      <scheme val="minor"/>
    </font>
    <font>
      <sz val="11"/>
      <color theme="1"/>
      <name val="Wingdings"/>
      <charset val="2"/>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1"/>
        <bgColor indexed="64"/>
      </patternFill>
    </fill>
    <fill>
      <patternFill patternType="solid">
        <fgColor theme="0" tint="-0.14999847407452621"/>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
    <xf numFmtId="0" fontId="0" fillId="0" borderId="0"/>
  </cellStyleXfs>
  <cellXfs count="97">
    <xf numFmtId="0" fontId="0" fillId="0" borderId="0" xfId="0"/>
    <xf numFmtId="0" fontId="3" fillId="0" borderId="0" xfId="0" applyFont="1"/>
    <xf numFmtId="0" fontId="4" fillId="0" borderId="0" xfId="0" applyFont="1"/>
    <xf numFmtId="0" fontId="6" fillId="0" borderId="0" xfId="0" applyFont="1"/>
    <xf numFmtId="0" fontId="7" fillId="0" borderId="0" xfId="0" applyFont="1"/>
    <xf numFmtId="0" fontId="2" fillId="0" borderId="0" xfId="0" applyFont="1"/>
    <xf numFmtId="0" fontId="0" fillId="0" borderId="1" xfId="0" applyBorder="1" applyAlignment="1">
      <alignment vertical="top" wrapText="1"/>
    </xf>
    <xf numFmtId="0" fontId="9" fillId="0" borderId="1" xfId="0" applyFont="1" applyBorder="1" applyAlignment="1">
      <alignment horizontal="center" vertical="center" wrapText="1"/>
    </xf>
    <xf numFmtId="0" fontId="10" fillId="2" borderId="1" xfId="0" applyFont="1" applyFill="1" applyBorder="1" applyAlignment="1" applyProtection="1">
      <alignment horizontal="center" vertical="center"/>
      <protection locked="0"/>
    </xf>
    <xf numFmtId="0" fontId="2" fillId="0" borderId="1" xfId="0" applyFont="1" applyBorder="1" applyAlignment="1">
      <alignment horizontal="center" vertical="center" wrapText="1"/>
    </xf>
    <xf numFmtId="0" fontId="0" fillId="0" borderId="0" xfId="0" applyAlignment="1">
      <alignment horizontal="left" vertical="top" wrapText="1"/>
    </xf>
    <xf numFmtId="0" fontId="2" fillId="0" borderId="0" xfId="0" applyFont="1" applyAlignment="1">
      <alignment horizontal="center" vertical="center" wrapText="1"/>
    </xf>
    <xf numFmtId="0" fontId="0" fillId="0" borderId="0" xfId="0" applyAlignment="1">
      <alignment vertical="top"/>
    </xf>
    <xf numFmtId="0" fontId="0" fillId="0" borderId="0" xfId="0" applyFill="1"/>
    <xf numFmtId="0" fontId="8" fillId="0" borderId="0" xfId="0" applyFont="1"/>
    <xf numFmtId="0" fontId="0" fillId="0" borderId="1" xfId="0" applyFill="1" applyBorder="1" applyAlignment="1">
      <alignment vertical="top" wrapText="1"/>
    </xf>
    <xf numFmtId="0" fontId="11" fillId="0" borderId="1" xfId="0" applyFont="1" applyBorder="1" applyAlignment="1">
      <alignment horizontal="center" vertical="center" wrapText="1"/>
    </xf>
    <xf numFmtId="0" fontId="0" fillId="0" borderId="0" xfId="0" applyAlignment="1">
      <alignment horizontal="left" wrapText="1"/>
    </xf>
    <xf numFmtId="0" fontId="0" fillId="0" borderId="1" xfId="0" applyBorder="1" applyAlignment="1">
      <alignment wrapText="1"/>
    </xf>
    <xf numFmtId="0" fontId="0" fillId="0" borderId="1" xfId="0" applyBorder="1" applyAlignment="1">
      <alignment vertical="center" wrapText="1"/>
    </xf>
    <xf numFmtId="16" fontId="10" fillId="2" borderId="1" xfId="0" applyNumberFormat="1" applyFont="1" applyFill="1" applyBorder="1" applyAlignment="1" applyProtection="1">
      <alignment horizontal="center" vertical="center"/>
      <protection locked="0"/>
    </xf>
    <xf numFmtId="16" fontId="2" fillId="0" borderId="0" xfId="0" applyNumberFormat="1" applyFont="1" applyFill="1" applyBorder="1" applyAlignment="1" applyProtection="1">
      <alignment horizontal="center" vertical="center"/>
    </xf>
    <xf numFmtId="0" fontId="0" fillId="0" borderId="0" xfId="0" applyBorder="1"/>
    <xf numFmtId="0" fontId="0" fillId="0" borderId="0" xfId="0" applyFill="1" applyBorder="1"/>
    <xf numFmtId="0" fontId="0" fillId="0" borderId="0" xfId="0" applyAlignment="1">
      <alignment horizontal="center" wrapText="1"/>
    </xf>
    <xf numFmtId="9" fontId="0" fillId="0" borderId="0" xfId="0" applyNumberFormat="1"/>
    <xf numFmtId="0" fontId="0" fillId="0" borderId="1" xfId="0" applyBorder="1" applyAlignment="1">
      <alignment horizontal="center" wrapText="1"/>
    </xf>
    <xf numFmtId="0" fontId="0" fillId="0" borderId="0" xfId="0" applyAlignment="1">
      <alignment horizontal="left"/>
    </xf>
    <xf numFmtId="0" fontId="0" fillId="0" borderId="1" xfId="0" applyBorder="1" applyAlignment="1">
      <alignment horizontal="center"/>
    </xf>
    <xf numFmtId="3" fontId="0" fillId="0" borderId="0" xfId="0" applyNumberFormat="1"/>
    <xf numFmtId="3" fontId="11" fillId="0" borderId="0" xfId="0" applyNumberFormat="1" applyFont="1" applyAlignment="1">
      <alignment horizontal="center"/>
    </xf>
    <xf numFmtId="0" fontId="0" fillId="0" borderId="0" xfId="0" applyAlignment="1">
      <alignment horizontal="center"/>
    </xf>
    <xf numFmtId="0" fontId="0" fillId="0" borderId="0" xfId="0" applyFont="1" applyAlignment="1">
      <alignment horizontal="left"/>
    </xf>
    <xf numFmtId="3" fontId="13" fillId="3" borderId="2" xfId="0" applyNumberFormat="1" applyFont="1" applyFill="1" applyBorder="1" applyAlignment="1">
      <alignment horizontal="center"/>
    </xf>
    <xf numFmtId="3" fontId="0" fillId="0" borderId="0" xfId="0" applyNumberFormat="1" applyAlignment="1">
      <alignment horizontal="center"/>
    </xf>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14" fillId="0" borderId="1" xfId="0" applyFont="1" applyBorder="1" applyAlignment="1">
      <alignment horizontal="center" wrapText="1"/>
    </xf>
    <xf numFmtId="0" fontId="0" fillId="0" borderId="1" xfId="0" applyBorder="1"/>
    <xf numFmtId="0" fontId="2" fillId="0" borderId="1" xfId="0" applyFont="1" applyBorder="1"/>
    <xf numFmtId="0" fontId="2" fillId="0" borderId="0" xfId="0" applyFont="1" applyAlignment="1">
      <alignment horizontal="center"/>
    </xf>
    <xf numFmtId="3" fontId="2" fillId="0" borderId="1" xfId="0" applyNumberFormat="1" applyFont="1" applyBorder="1" applyAlignment="1">
      <alignment horizontal="center"/>
    </xf>
    <xf numFmtId="3" fontId="2" fillId="0" borderId="1" xfId="0" applyNumberFormat="1" applyFont="1" applyFill="1" applyBorder="1" applyAlignment="1">
      <alignment horizontal="center"/>
    </xf>
    <xf numFmtId="0" fontId="2" fillId="3" borderId="1" xfId="0" applyFont="1" applyFill="1" applyBorder="1" applyAlignment="1">
      <alignment horizontal="center"/>
    </xf>
    <xf numFmtId="0" fontId="0" fillId="0" borderId="0" xfId="0" applyBorder="1" applyAlignment="1">
      <alignment horizontal="center"/>
    </xf>
    <xf numFmtId="0" fontId="0" fillId="0" borderId="1" xfId="0" applyFill="1" applyBorder="1"/>
    <xf numFmtId="0" fontId="0" fillId="0" borderId="1" xfId="0" applyBorder="1" applyAlignment="1"/>
    <xf numFmtId="164" fontId="0" fillId="0" borderId="0" xfId="0" applyNumberFormat="1" applyAlignment="1">
      <alignment horizontal="right"/>
    </xf>
    <xf numFmtId="16" fontId="0" fillId="0" borderId="1" xfId="0" applyNumberFormat="1" applyBorder="1" applyAlignment="1">
      <alignment horizontal="center"/>
    </xf>
    <xf numFmtId="3" fontId="0" fillId="3" borderId="1" xfId="0" applyNumberFormat="1" applyFill="1" applyBorder="1" applyAlignment="1">
      <alignment horizontal="center"/>
    </xf>
    <xf numFmtId="3" fontId="0" fillId="4" borderId="1" xfId="0" applyNumberFormat="1" applyFill="1" applyBorder="1" applyAlignment="1">
      <alignment horizontal="center"/>
    </xf>
    <xf numFmtId="0" fontId="0" fillId="5" borderId="1" xfId="0" applyFill="1" applyBorder="1"/>
    <xf numFmtId="3" fontId="2" fillId="5" borderId="1" xfId="0" applyNumberFormat="1" applyFont="1" applyFill="1" applyBorder="1" applyAlignment="1">
      <alignment horizontal="center"/>
    </xf>
    <xf numFmtId="3" fontId="2" fillId="3" borderId="1" xfId="0" applyNumberFormat="1" applyFont="1" applyFill="1" applyBorder="1" applyAlignment="1">
      <alignment horizontal="center"/>
    </xf>
    <xf numFmtId="3" fontId="0" fillId="0" borderId="1" xfId="0" applyNumberFormat="1" applyBorder="1" applyAlignment="1">
      <alignment horizontal="center"/>
    </xf>
    <xf numFmtId="3" fontId="0" fillId="5" borderId="1" xfId="0" applyNumberFormat="1" applyFill="1" applyBorder="1" applyAlignment="1">
      <alignment horizontal="center"/>
    </xf>
    <xf numFmtId="3" fontId="0" fillId="0" borderId="1" xfId="0" applyNumberFormat="1" applyFill="1" applyBorder="1"/>
    <xf numFmtId="165" fontId="0" fillId="0" borderId="1" xfId="0" applyNumberFormat="1" applyBorder="1" applyAlignment="1">
      <alignment horizontal="center"/>
    </xf>
    <xf numFmtId="164" fontId="0" fillId="0" borderId="1" xfId="0" applyNumberFormat="1"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1" fontId="0" fillId="5" borderId="1" xfId="0" applyNumberFormat="1" applyFill="1" applyBorder="1" applyAlignment="1">
      <alignment horizontal="center"/>
    </xf>
    <xf numFmtId="1" fontId="2" fillId="5" borderId="1" xfId="0" applyNumberFormat="1" applyFont="1" applyFill="1" applyBorder="1" applyAlignment="1">
      <alignment horizontal="center"/>
    </xf>
    <xf numFmtId="3" fontId="0" fillId="0" borderId="1" xfId="0" applyNumberFormat="1" applyBorder="1"/>
    <xf numFmtId="3" fontId="0" fillId="0" borderId="1" xfId="0" applyNumberFormat="1" applyFill="1" applyBorder="1" applyAlignment="1">
      <alignment horizontal="center"/>
    </xf>
    <xf numFmtId="0" fontId="0" fillId="0" borderId="5" xfId="0" applyBorder="1" applyAlignment="1"/>
    <xf numFmtId="1" fontId="0" fillId="0" borderId="1" xfId="0" applyNumberFormat="1" applyBorder="1"/>
    <xf numFmtId="1" fontId="2" fillId="0" borderId="1" xfId="0" applyNumberFormat="1" applyFont="1" applyBorder="1" applyAlignment="1">
      <alignment horizontal="center"/>
    </xf>
    <xf numFmtId="3" fontId="0" fillId="0" borderId="0" xfId="0" applyNumberFormat="1" applyFill="1" applyBorder="1" applyAlignment="1">
      <alignment horizontal="center"/>
    </xf>
    <xf numFmtId="3" fontId="0" fillId="3" borderId="1" xfId="0" applyNumberFormat="1" applyFill="1" applyBorder="1"/>
    <xf numFmtId="1" fontId="0" fillId="3" borderId="1" xfId="0" applyNumberFormat="1" applyFill="1" applyBorder="1" applyAlignment="1">
      <alignment horizontal="center"/>
    </xf>
    <xf numFmtId="0" fontId="1" fillId="0" borderId="0" xfId="0" applyFont="1"/>
    <xf numFmtId="3" fontId="0" fillId="0" borderId="0" xfId="0" applyNumberFormat="1" applyBorder="1" applyAlignment="1">
      <alignment horizontal="center"/>
    </xf>
    <xf numFmtId="166" fontId="0" fillId="0" borderId="0" xfId="0" applyNumberFormat="1" applyFill="1"/>
    <xf numFmtId="167" fontId="0" fillId="0" borderId="1" xfId="0" applyNumberFormat="1" applyFill="1" applyBorder="1"/>
    <xf numFmtId="9" fontId="0" fillId="0" borderId="0" xfId="0" applyNumberFormat="1" applyFill="1"/>
    <xf numFmtId="166" fontId="0" fillId="0" borderId="0" xfId="0" applyNumberFormat="1"/>
    <xf numFmtId="0" fontId="2" fillId="0" borderId="0" xfId="0" applyFont="1" applyAlignment="1">
      <alignment horizontal="right"/>
    </xf>
    <xf numFmtId="0" fontId="2" fillId="0" borderId="1" xfId="0" applyFont="1" applyFill="1" applyBorder="1" applyAlignment="1">
      <alignment horizontal="center"/>
    </xf>
    <xf numFmtId="1" fontId="0" fillId="0" borderId="0" xfId="0" applyNumberFormat="1" applyFill="1"/>
    <xf numFmtId="168" fontId="0" fillId="0" borderId="0" xfId="0" applyNumberFormat="1" applyFill="1"/>
    <xf numFmtId="164" fontId="0" fillId="0" borderId="0" xfId="0" applyNumberFormat="1"/>
    <xf numFmtId="2" fontId="0" fillId="0" borderId="0" xfId="0" applyNumberFormat="1"/>
    <xf numFmtId="0" fontId="0" fillId="0" borderId="0" xfId="0" applyAlignment="1">
      <alignment wrapText="1"/>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wrapText="1"/>
    </xf>
    <xf numFmtId="0" fontId="0" fillId="0" borderId="6" xfId="0" applyBorder="1" applyAlignment="1">
      <alignment horizontal="center" wrapText="1"/>
    </xf>
    <xf numFmtId="0" fontId="0" fillId="0" borderId="1" xfId="0" applyBorder="1" applyAlignment="1">
      <alignment horizontal="center" vertical="center" wrapText="1"/>
    </xf>
    <xf numFmtId="0" fontId="7" fillId="0" borderId="1" xfId="0" applyFont="1" applyBorder="1" applyAlignment="1">
      <alignment horizontal="left" vertical="top"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2" fillId="0" borderId="2" xfId="0" applyFont="1" applyBorder="1" applyAlignment="1">
      <alignment horizontal="center" wrapText="1"/>
    </xf>
    <xf numFmtId="0" fontId="2" fillId="0" borderId="1" xfId="0" applyFont="1" applyBorder="1" applyAlignment="1">
      <alignment horizontal="center"/>
    </xf>
    <xf numFmtId="0" fontId="2" fillId="2" borderId="1" xfId="0" applyFont="1" applyFill="1" applyBorder="1" applyAlignment="1" applyProtection="1">
      <alignment horizont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9556494538294"/>
          <c:y val="0.10856437420174757"/>
          <c:w val="0.65372440579125324"/>
          <c:h val="0.73610961254254881"/>
        </c:manualLayout>
      </c:layout>
      <c:areaChart>
        <c:grouping val="stacked"/>
        <c:varyColors val="0"/>
        <c:ser>
          <c:idx val="5"/>
          <c:order val="2"/>
          <c:tx>
            <c:v>Frames of original adult bees</c:v>
          </c:tx>
          <c:spPr>
            <a:solidFill>
              <a:srgbClr val="DEA900"/>
            </a:solidFill>
            <a:ln>
              <a:noFill/>
            </a:ln>
          </c:spPr>
          <c:cat>
            <c:multiLvlStrRef>
              <c:f>'Nuc growth'!#REF!</c:f>
            </c:multiLvlStrRef>
          </c:cat>
          <c:val>
            <c:numRef>
              <c:f>Current!$AE$39:$AE$51</c:f>
              <c:numCache>
                <c:formatCode>#,##0.0</c:formatCode>
                <c:ptCount val="13"/>
                <c:pt idx="0">
                  <c:v>4.5</c:v>
                </c:pt>
                <c:pt idx="1">
                  <c:v>3.787624676312169</c:v>
                </c:pt>
                <c:pt idx="2">
                  <c:v>3.5602024795308793</c:v>
                </c:pt>
                <c:pt idx="3">
                  <c:v>3.2890207763226367</c:v>
                </c:pt>
                <c:pt idx="4">
                  <c:v>2.9989812771575992</c:v>
                </c:pt>
                <c:pt idx="5">
                  <c:v>2.6689312854586689</c:v>
                </c:pt>
                <c:pt idx="6">
                  <c:v>2.3302578937788896</c:v>
                </c:pt>
                <c:pt idx="7">
                  <c:v>1.9680968249393398</c:v>
                </c:pt>
                <c:pt idx="8">
                  <c:v>1.5833634267284695</c:v>
                </c:pt>
                <c:pt idx="9">
                  <c:v>1.2259996334947072</c:v>
                </c:pt>
                <c:pt idx="10">
                  <c:v>0.90288595448152764</c:v>
                </c:pt>
                <c:pt idx="11">
                  <c:v>0.60648214960288127</c:v>
                </c:pt>
                <c:pt idx="12">
                  <c:v>0.3737372736967336</c:v>
                </c:pt>
              </c:numCache>
            </c:numRef>
          </c:val>
        </c:ser>
        <c:ser>
          <c:idx val="2"/>
          <c:order val="3"/>
          <c:tx>
            <c:v>Frames of bees from original brood</c:v>
          </c:tx>
          <c:spPr>
            <a:solidFill>
              <a:srgbClr val="FFC715"/>
            </a:solidFill>
          </c:spPr>
          <c:cat>
            <c:multiLvlStrRef>
              <c:f>'Nuc growth'!#REF!</c:f>
            </c:multiLvlStrRef>
          </c:cat>
          <c:val>
            <c:numRef>
              <c:f>Current!$AF$39:$AF$51</c:f>
              <c:numCache>
                <c:formatCode>0.0</c:formatCode>
                <c:ptCount val="13"/>
                <c:pt idx="0">
                  <c:v>0</c:v>
                </c:pt>
                <c:pt idx="1">
                  <c:v>1.2857142857142858</c:v>
                </c:pt>
                <c:pt idx="2">
                  <c:v>2.5071428571428567</c:v>
                </c:pt>
                <c:pt idx="3">
                  <c:v>3.6674999999999995</c:v>
                </c:pt>
                <c:pt idx="4">
                  <c:v>3.8656316020655224</c:v>
                </c:pt>
                <c:pt idx="5">
                  <c:v>3.5577421050698348</c:v>
                </c:pt>
                <c:pt idx="6">
                  <c:v>3.1380271168697602</c:v>
                </c:pt>
                <c:pt idx="7">
                  <c:v>2.6347560456120909</c:v>
                </c:pt>
                <c:pt idx="8">
                  <c:v>2.0901524705358994</c:v>
                </c:pt>
                <c:pt idx="9">
                  <c:v>1.5450654582074526</c:v>
                </c:pt>
                <c:pt idx="10">
                  <c:v>1.0481757586795513</c:v>
                </c:pt>
                <c:pt idx="11">
                  <c:v>0.63485992882293585</c:v>
                </c:pt>
                <c:pt idx="12">
                  <c:v>0.33345844161409505</c:v>
                </c:pt>
              </c:numCache>
            </c:numRef>
          </c:val>
        </c:ser>
        <c:ser>
          <c:idx val="0"/>
          <c:order val="4"/>
          <c:tx>
            <c:v>Frames of bees from new queen</c:v>
          </c:tx>
          <c:spPr>
            <a:solidFill>
              <a:srgbClr val="F57B17"/>
            </a:solidFill>
          </c:spPr>
          <c:cat>
            <c:multiLvlStrRef>
              <c:f>'Nuc growth'!#REF!</c:f>
            </c:multiLvlStrRef>
          </c:cat>
          <c:val>
            <c:numRef>
              <c:f>Current!$AH$39:$AH$51</c:f>
              <c:numCache>
                <c:formatCode>#,##0</c:formatCode>
                <c:ptCount val="13"/>
                <c:pt idx="0">
                  <c:v>0</c:v>
                </c:pt>
                <c:pt idx="1">
                  <c:v>0</c:v>
                </c:pt>
                <c:pt idx="2">
                  <c:v>0</c:v>
                </c:pt>
                <c:pt idx="3">
                  <c:v>0</c:v>
                </c:pt>
                <c:pt idx="4">
                  <c:v>0</c:v>
                </c:pt>
                <c:pt idx="5">
                  <c:v>4.05</c:v>
                </c:pt>
                <c:pt idx="6">
                  <c:v>8.0034743202416916</c:v>
                </c:pt>
                <c:pt idx="7">
                  <c:v>8.9277017071929041</c:v>
                </c:pt>
                <c:pt idx="8">
                  <c:v>12.458643921199773</c:v>
                </c:pt>
                <c:pt idx="9">
                  <c:v>15.630426372132932</c:v>
                </c:pt>
                <c:pt idx="10">
                  <c:v>18.372580422547529</c:v>
                </c:pt>
                <c:pt idx="11">
                  <c:v>20.579517308075726</c:v>
                </c:pt>
                <c:pt idx="12">
                  <c:v>22.398100401522626</c:v>
                </c:pt>
              </c:numCache>
            </c:numRef>
          </c:val>
        </c:ser>
        <c:dLbls>
          <c:showLegendKey val="0"/>
          <c:showVal val="0"/>
          <c:showCatName val="0"/>
          <c:showSerName val="0"/>
          <c:showPercent val="0"/>
          <c:showBubbleSize val="0"/>
        </c:dLbls>
        <c:axId val="275482496"/>
        <c:axId val="275533184"/>
      </c:areaChart>
      <c:barChart>
        <c:barDir val="col"/>
        <c:grouping val="clustered"/>
        <c:varyColors val="0"/>
        <c:ser>
          <c:idx val="3"/>
          <c:order val="5"/>
          <c:tx>
            <c:v>Start of honeyflow</c:v>
          </c:tx>
          <c:spPr>
            <a:solidFill>
              <a:srgbClr val="FFFF00"/>
            </a:solidFill>
          </c:spPr>
          <c:invertIfNegative val="0"/>
          <c:cat>
            <c:numRef>
              <c:f>Current!$E$39:$E$51</c:f>
              <c:numCache>
                <c:formatCode>General</c:formatCode>
                <c:ptCount val="13"/>
                <c:pt idx="0">
                  <c:v>0</c:v>
                </c:pt>
                <c:pt idx="1">
                  <c:v>6</c:v>
                </c:pt>
                <c:pt idx="2">
                  <c:v>12</c:v>
                </c:pt>
                <c:pt idx="3">
                  <c:v>18</c:v>
                </c:pt>
                <c:pt idx="4">
                  <c:v>24</c:v>
                </c:pt>
                <c:pt idx="5">
                  <c:v>30</c:v>
                </c:pt>
                <c:pt idx="6">
                  <c:v>36</c:v>
                </c:pt>
                <c:pt idx="7">
                  <c:v>42</c:v>
                </c:pt>
                <c:pt idx="8">
                  <c:v>48</c:v>
                </c:pt>
                <c:pt idx="9">
                  <c:v>54</c:v>
                </c:pt>
                <c:pt idx="10">
                  <c:v>60</c:v>
                </c:pt>
                <c:pt idx="11">
                  <c:v>66</c:v>
                </c:pt>
                <c:pt idx="12">
                  <c:v>72</c:v>
                </c:pt>
              </c:numCache>
            </c:numRef>
          </c:cat>
          <c:val>
            <c:numRef>
              <c:f>Current!$AL$39:$AL$51</c:f>
              <c:numCache>
                <c:formatCode>General</c:formatCode>
                <c:ptCount val="13"/>
                <c:pt idx="0">
                  <c:v>0</c:v>
                </c:pt>
                <c:pt idx="1">
                  <c:v>0</c:v>
                </c:pt>
                <c:pt idx="2">
                  <c:v>0</c:v>
                </c:pt>
                <c:pt idx="3">
                  <c:v>0</c:v>
                </c:pt>
                <c:pt idx="4">
                  <c:v>0</c:v>
                </c:pt>
                <c:pt idx="5">
                  <c:v>0</c:v>
                </c:pt>
                <c:pt idx="6">
                  <c:v>0</c:v>
                </c:pt>
                <c:pt idx="7">
                  <c:v>0</c:v>
                </c:pt>
                <c:pt idx="8">
                  <c:v>0</c:v>
                </c:pt>
                <c:pt idx="9">
                  <c:v>0</c:v>
                </c:pt>
                <c:pt idx="10">
                  <c:v>20</c:v>
                </c:pt>
                <c:pt idx="11">
                  <c:v>0</c:v>
                </c:pt>
                <c:pt idx="12">
                  <c:v>0</c:v>
                </c:pt>
              </c:numCache>
            </c:numRef>
          </c:val>
        </c:ser>
        <c:dLbls>
          <c:showLegendKey val="0"/>
          <c:showVal val="0"/>
          <c:showCatName val="0"/>
          <c:showSerName val="0"/>
          <c:showPercent val="0"/>
          <c:showBubbleSize val="0"/>
        </c:dLbls>
        <c:gapWidth val="400"/>
        <c:axId val="275482496"/>
        <c:axId val="275533184"/>
      </c:barChart>
      <c:lineChart>
        <c:grouping val="standard"/>
        <c:varyColors val="0"/>
        <c:ser>
          <c:idx val="1"/>
          <c:order val="0"/>
          <c:tx>
            <c:v>Frames of starting brood</c:v>
          </c:tx>
          <c:spPr>
            <a:ln>
              <a:solidFill>
                <a:schemeClr val="tx1"/>
              </a:solidFill>
            </a:ln>
          </c:spPr>
          <c:marker>
            <c:symbol val="none"/>
          </c:marker>
          <c:cat>
            <c:numRef>
              <c:f>Current!$E$39:$E$51</c:f>
              <c:numCache>
                <c:formatCode>General</c:formatCode>
                <c:ptCount val="13"/>
                <c:pt idx="0">
                  <c:v>0</c:v>
                </c:pt>
                <c:pt idx="1">
                  <c:v>6</c:v>
                </c:pt>
                <c:pt idx="2">
                  <c:v>12</c:v>
                </c:pt>
                <c:pt idx="3">
                  <c:v>18</c:v>
                </c:pt>
                <c:pt idx="4">
                  <c:v>24</c:v>
                </c:pt>
                <c:pt idx="5">
                  <c:v>30</c:v>
                </c:pt>
                <c:pt idx="6">
                  <c:v>36</c:v>
                </c:pt>
                <c:pt idx="7">
                  <c:v>42</c:v>
                </c:pt>
                <c:pt idx="8">
                  <c:v>48</c:v>
                </c:pt>
                <c:pt idx="9">
                  <c:v>54</c:v>
                </c:pt>
                <c:pt idx="10">
                  <c:v>60</c:v>
                </c:pt>
                <c:pt idx="11">
                  <c:v>66</c:v>
                </c:pt>
                <c:pt idx="12">
                  <c:v>72</c:v>
                </c:pt>
              </c:numCache>
            </c:numRef>
          </c:cat>
          <c:val>
            <c:numRef>
              <c:f>Current!$AG$39:$AG$51</c:f>
              <c:numCache>
                <c:formatCode>#,##0</c:formatCode>
                <c:ptCount val="13"/>
                <c:pt idx="0">
                  <c:v>2</c:v>
                </c:pt>
                <c:pt idx="1">
                  <c:v>1.4285714285714286</c:v>
                </c:pt>
                <c:pt idx="2">
                  <c:v>0.8571428571428571</c:v>
                </c:pt>
                <c:pt idx="3">
                  <c:v>0.37000000000000022</c:v>
                </c:pt>
                <c:pt idx="4">
                  <c:v>0</c:v>
                </c:pt>
                <c:pt idx="5">
                  <c:v>0</c:v>
                </c:pt>
                <c:pt idx="6">
                  <c:v>0</c:v>
                </c:pt>
                <c:pt idx="7">
                  <c:v>0</c:v>
                </c:pt>
                <c:pt idx="8">
                  <c:v>0</c:v>
                </c:pt>
                <c:pt idx="9">
                  <c:v>0</c:v>
                </c:pt>
                <c:pt idx="10">
                  <c:v>0</c:v>
                </c:pt>
                <c:pt idx="11">
                  <c:v>0</c:v>
                </c:pt>
                <c:pt idx="12">
                  <c:v>0</c:v>
                </c:pt>
              </c:numCache>
            </c:numRef>
          </c:val>
          <c:smooth val="0"/>
        </c:ser>
        <c:ser>
          <c:idx val="4"/>
          <c:order val="1"/>
          <c:tx>
            <c:v>Frames of brood from new queen</c:v>
          </c:tx>
          <c:spPr>
            <a:ln>
              <a:solidFill>
                <a:schemeClr val="tx1"/>
              </a:solidFill>
              <a:prstDash val="sysDash"/>
            </a:ln>
          </c:spPr>
          <c:marker>
            <c:symbol val="none"/>
          </c:marker>
          <c:cat>
            <c:numRef>
              <c:f>Current!$E$39:$E$51</c:f>
              <c:numCache>
                <c:formatCode>General</c:formatCode>
                <c:ptCount val="13"/>
                <c:pt idx="0">
                  <c:v>0</c:v>
                </c:pt>
                <c:pt idx="1">
                  <c:v>6</c:v>
                </c:pt>
                <c:pt idx="2">
                  <c:v>12</c:v>
                </c:pt>
                <c:pt idx="3">
                  <c:v>18</c:v>
                </c:pt>
                <c:pt idx="4">
                  <c:v>24</c:v>
                </c:pt>
                <c:pt idx="5">
                  <c:v>30</c:v>
                </c:pt>
                <c:pt idx="6">
                  <c:v>36</c:v>
                </c:pt>
                <c:pt idx="7">
                  <c:v>42</c:v>
                </c:pt>
                <c:pt idx="8">
                  <c:v>48</c:v>
                </c:pt>
                <c:pt idx="9">
                  <c:v>54</c:v>
                </c:pt>
                <c:pt idx="10">
                  <c:v>60</c:v>
                </c:pt>
                <c:pt idx="11">
                  <c:v>66</c:v>
                </c:pt>
                <c:pt idx="12">
                  <c:v>72</c:v>
                </c:pt>
              </c:numCache>
            </c:numRef>
          </c:cat>
          <c:val>
            <c:numRef>
              <c:f>Current!$AI$39:$AI$51</c:f>
              <c:numCache>
                <c:formatCode>#,##0</c:formatCode>
                <c:ptCount val="13"/>
                <c:pt idx="0">
                  <c:v>0</c:v>
                </c:pt>
                <c:pt idx="1">
                  <c:v>0</c:v>
                </c:pt>
                <c:pt idx="2">
                  <c:v>0</c:v>
                </c:pt>
                <c:pt idx="3">
                  <c:v>2</c:v>
                </c:pt>
                <c:pt idx="4">
                  <c:v>4</c:v>
                </c:pt>
                <c:pt idx="5">
                  <c:v>4.5764085861487471</c:v>
                </c:pt>
                <c:pt idx="6">
                  <c:v>4.5764085861487471</c:v>
                </c:pt>
                <c:pt idx="7">
                  <c:v>4.5764085861487471</c:v>
                </c:pt>
                <c:pt idx="8">
                  <c:v>6</c:v>
                </c:pt>
                <c:pt idx="9">
                  <c:v>6</c:v>
                </c:pt>
                <c:pt idx="10">
                  <c:v>6</c:v>
                </c:pt>
                <c:pt idx="11">
                  <c:v>6</c:v>
                </c:pt>
                <c:pt idx="12">
                  <c:v>6</c:v>
                </c:pt>
              </c:numCache>
            </c:numRef>
          </c:val>
          <c:smooth val="0"/>
        </c:ser>
        <c:dLbls>
          <c:showLegendKey val="0"/>
          <c:showVal val="0"/>
          <c:showCatName val="0"/>
          <c:showSerName val="0"/>
          <c:showPercent val="0"/>
          <c:showBubbleSize val="0"/>
        </c:dLbls>
        <c:marker val="1"/>
        <c:smooth val="0"/>
        <c:axId val="275482496"/>
        <c:axId val="275533184"/>
      </c:lineChart>
      <c:catAx>
        <c:axId val="275482496"/>
        <c:scaling>
          <c:orientation val="minMax"/>
        </c:scaling>
        <c:delete val="0"/>
        <c:axPos val="b"/>
        <c:title>
          <c:tx>
            <c:rich>
              <a:bodyPr/>
              <a:lstStyle/>
              <a:p>
                <a:pPr>
                  <a:defRPr sz="1100"/>
                </a:pPr>
                <a:r>
                  <a:rPr lang="en-US" sz="1100"/>
                  <a:t>Days after making the nuc</a:t>
                </a:r>
              </a:p>
            </c:rich>
          </c:tx>
          <c:layout/>
          <c:overlay val="0"/>
        </c:title>
        <c:numFmt formatCode="#,##0" sourceLinked="0"/>
        <c:majorTickMark val="out"/>
        <c:minorTickMark val="none"/>
        <c:tickLblPos val="nextTo"/>
        <c:txPr>
          <a:bodyPr rot="-2700000" vert="horz"/>
          <a:lstStyle/>
          <a:p>
            <a:pPr>
              <a:defRPr sz="1200"/>
            </a:pPr>
            <a:endParaRPr lang="en-US"/>
          </a:p>
        </c:txPr>
        <c:crossAx val="275533184"/>
        <c:crosses val="autoZero"/>
        <c:auto val="1"/>
        <c:lblAlgn val="ctr"/>
        <c:lblOffset val="100"/>
        <c:noMultiLvlLbl val="0"/>
      </c:catAx>
      <c:valAx>
        <c:axId val="275533184"/>
        <c:scaling>
          <c:orientation val="minMax"/>
          <c:max val="20"/>
          <c:min val="0"/>
        </c:scaling>
        <c:delete val="0"/>
        <c:axPos val="l"/>
        <c:majorGridlines/>
        <c:title>
          <c:tx>
            <c:rich>
              <a:bodyPr rot="-5400000" vert="horz"/>
              <a:lstStyle/>
              <a:p>
                <a:pPr>
                  <a:defRPr sz="1100" b="0">
                    <a:latin typeface="Arial Black" panose="020B0A04020102020204" pitchFamily="34" charset="0"/>
                    <a:cs typeface="Arial" panose="020B0604020202020204" pitchFamily="34" charset="0"/>
                  </a:defRPr>
                </a:pPr>
                <a:r>
                  <a:rPr lang="en-US" sz="1100" b="0">
                    <a:latin typeface="Arial Black" panose="020B0A04020102020204" pitchFamily="34" charset="0"/>
                    <a:cs typeface="Arial" panose="020B0604020202020204" pitchFamily="34" charset="0"/>
                  </a:rPr>
                  <a:t>Frames of Bees or Brood</a:t>
                </a:r>
              </a:p>
            </c:rich>
          </c:tx>
          <c:layout>
            <c:manualLayout>
              <c:xMode val="edge"/>
              <c:yMode val="edge"/>
              <c:x val="8.9018613572564523E-3"/>
              <c:y val="0.24490594178621858"/>
            </c:manualLayout>
          </c:layout>
          <c:overlay val="0"/>
        </c:title>
        <c:numFmt formatCode="#,##0" sourceLinked="0"/>
        <c:majorTickMark val="out"/>
        <c:minorTickMark val="none"/>
        <c:tickLblPos val="nextTo"/>
        <c:txPr>
          <a:bodyPr/>
          <a:lstStyle/>
          <a:p>
            <a:pPr>
              <a:defRPr b="1"/>
            </a:pPr>
            <a:endParaRPr lang="en-US"/>
          </a:p>
        </c:txPr>
        <c:crossAx val="275482496"/>
        <c:crosses val="autoZero"/>
        <c:crossBetween val="midCat"/>
      </c:valAx>
    </c:plotArea>
    <c:legend>
      <c:legendPos val="r"/>
      <c:layout>
        <c:manualLayout>
          <c:xMode val="edge"/>
          <c:yMode val="edge"/>
          <c:x val="0.78563042854701459"/>
          <c:y val="0.16876563765844488"/>
          <c:w val="0.21436957145298538"/>
          <c:h val="0.71788017056603004"/>
        </c:manualLayout>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v>Survivorship</c:v>
          </c:tx>
          <c:cat>
            <c:numRef>
              <c:f>Current!$AQ$42:$AQ$56</c:f>
              <c:numCache>
                <c:formatCode>General</c:formatCode>
                <c:ptCount val="15"/>
                <c:pt idx="0">
                  <c:v>0</c:v>
                </c:pt>
                <c:pt idx="1">
                  <c:v>6</c:v>
                </c:pt>
                <c:pt idx="2">
                  <c:v>12</c:v>
                </c:pt>
                <c:pt idx="3">
                  <c:v>18</c:v>
                </c:pt>
                <c:pt idx="4">
                  <c:v>24</c:v>
                </c:pt>
                <c:pt idx="5">
                  <c:v>30</c:v>
                </c:pt>
                <c:pt idx="6">
                  <c:v>36</c:v>
                </c:pt>
                <c:pt idx="7">
                  <c:v>42</c:v>
                </c:pt>
                <c:pt idx="8">
                  <c:v>48</c:v>
                </c:pt>
                <c:pt idx="9">
                  <c:v>54</c:v>
                </c:pt>
                <c:pt idx="10">
                  <c:v>60</c:v>
                </c:pt>
                <c:pt idx="11">
                  <c:v>66</c:v>
                </c:pt>
                <c:pt idx="12">
                  <c:v>72</c:v>
                </c:pt>
                <c:pt idx="13">
                  <c:v>78</c:v>
                </c:pt>
                <c:pt idx="14">
                  <c:v>84</c:v>
                </c:pt>
              </c:numCache>
            </c:numRef>
          </c:cat>
          <c:val>
            <c:numRef>
              <c:f>Current!$AS$42:$AS$56</c:f>
              <c:numCache>
                <c:formatCode>General</c:formatCode>
                <c:ptCount val="15"/>
                <c:pt idx="0">
                  <c:v>1</c:v>
                </c:pt>
                <c:pt idx="1">
                  <c:v>0.97616649882510909</c:v>
                </c:pt>
                <c:pt idx="2">
                  <c:v>0.96295048143053641</c:v>
                </c:pt>
                <c:pt idx="3">
                  <c:v>0.90943936158309113</c:v>
                </c:pt>
                <c:pt idx="4">
                  <c:v>0.88599476439790581</c:v>
                </c:pt>
                <c:pt idx="5">
                  <c:v>0.81393115674397987</c:v>
                </c:pt>
                <c:pt idx="6">
                  <c:v>0.77139486341773311</c:v>
                </c:pt>
                <c:pt idx="7">
                  <c:v>0.73329411764705887</c:v>
                </c:pt>
                <c:pt idx="8">
                  <c:v>0.63629071073319421</c:v>
                </c:pt>
                <c:pt idx="9">
                  <c:v>0.54081694402420566</c:v>
                </c:pt>
                <c:pt idx="10">
                  <c:v>0.46809145499981353</c:v>
                </c:pt>
                <c:pt idx="11">
                  <c:v>0.35605577689243029</c:v>
                </c:pt>
                <c:pt idx="12">
                  <c:v>0.23497818059751593</c:v>
                </c:pt>
                <c:pt idx="13">
                  <c:v>0.17022857142857142</c:v>
                </c:pt>
                <c:pt idx="14">
                  <c:v>0.13986796464137854</c:v>
                </c:pt>
              </c:numCache>
            </c:numRef>
          </c:val>
          <c:smooth val="0"/>
        </c:ser>
        <c:dLbls>
          <c:showLegendKey val="0"/>
          <c:showVal val="0"/>
          <c:showCatName val="0"/>
          <c:showSerName val="0"/>
          <c:showPercent val="0"/>
          <c:showBubbleSize val="0"/>
        </c:dLbls>
        <c:marker val="1"/>
        <c:smooth val="0"/>
        <c:axId val="275604224"/>
        <c:axId val="275605760"/>
      </c:lineChart>
      <c:catAx>
        <c:axId val="275604224"/>
        <c:scaling>
          <c:orientation val="minMax"/>
        </c:scaling>
        <c:delete val="0"/>
        <c:axPos val="b"/>
        <c:numFmt formatCode="General" sourceLinked="1"/>
        <c:majorTickMark val="out"/>
        <c:minorTickMark val="none"/>
        <c:tickLblPos val="nextTo"/>
        <c:crossAx val="275605760"/>
        <c:crosses val="autoZero"/>
        <c:auto val="1"/>
        <c:lblAlgn val="ctr"/>
        <c:lblOffset val="100"/>
        <c:noMultiLvlLbl val="0"/>
      </c:catAx>
      <c:valAx>
        <c:axId val="275605760"/>
        <c:scaling>
          <c:orientation val="minMax"/>
        </c:scaling>
        <c:delete val="0"/>
        <c:axPos val="l"/>
        <c:majorGridlines/>
        <c:numFmt formatCode="General" sourceLinked="1"/>
        <c:majorTickMark val="out"/>
        <c:minorTickMark val="none"/>
        <c:tickLblPos val="nextTo"/>
        <c:crossAx val="2756042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230715</xdr:colOff>
      <xdr:row>3</xdr:row>
      <xdr:rowOff>28222</xdr:rowOff>
    </xdr:from>
    <xdr:to>
      <xdr:col>16</xdr:col>
      <xdr:colOff>176388</xdr:colOff>
      <xdr:row>15</xdr:row>
      <xdr:rowOff>4939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88900</xdr:colOff>
      <xdr:row>17</xdr:row>
      <xdr:rowOff>92075</xdr:rowOff>
    </xdr:from>
    <xdr:to>
      <xdr:col>4</xdr:col>
      <xdr:colOff>25798</xdr:colOff>
      <xdr:row>34</xdr:row>
      <xdr:rowOff>121821</xdr:rowOff>
    </xdr:to>
    <xdr:pic>
      <xdr:nvPicPr>
        <xdr:cNvPr id="3" name="Picture 2"/>
        <xdr:cNvPicPr>
          <a:picLocks noChangeAspect="1"/>
        </xdr:cNvPicPr>
      </xdr:nvPicPr>
      <xdr:blipFill>
        <a:blip xmlns:r="http://schemas.openxmlformats.org/officeDocument/2006/relationships" r:embed="rId2"/>
        <a:stretch>
          <a:fillRect/>
        </a:stretch>
      </xdr:blipFill>
      <xdr:spPr>
        <a:xfrm>
          <a:off x="482600" y="5248275"/>
          <a:ext cx="5467748" cy="3172996"/>
        </a:xfrm>
        <a:prstGeom prst="rect">
          <a:avLst/>
        </a:prstGeom>
      </xdr:spPr>
    </xdr:pic>
    <xdr:clientData/>
  </xdr:twoCellAnchor>
  <xdr:twoCellAnchor>
    <xdr:from>
      <xdr:col>45</xdr:col>
      <xdr:colOff>600075</xdr:colOff>
      <xdr:row>40</xdr:row>
      <xdr:rowOff>28575</xdr:rowOff>
    </xdr:from>
    <xdr:to>
      <xdr:col>53</xdr:col>
      <xdr:colOff>295275</xdr:colOff>
      <xdr:row>53</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3476625</xdr:colOff>
      <xdr:row>30</xdr:row>
      <xdr:rowOff>180975</xdr:rowOff>
    </xdr:from>
    <xdr:to>
      <xdr:col>4</xdr:col>
      <xdr:colOff>504825</xdr:colOff>
      <xdr:row>32</xdr:row>
      <xdr:rowOff>9525</xdr:rowOff>
    </xdr:to>
    <xdr:sp macro="" textlink="">
      <xdr:nvSpPr>
        <xdr:cNvPr id="5" name="TextBox 1"/>
        <xdr:cNvSpPr txBox="1"/>
      </xdr:nvSpPr>
      <xdr:spPr>
        <a:xfrm>
          <a:off x="3870325" y="7743825"/>
          <a:ext cx="2559050" cy="1968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a:t>©ScientificBeekeeping.com</a:t>
          </a:r>
        </a:p>
      </xdr:txBody>
    </xdr:sp>
    <xdr:clientData/>
  </xdr:twoCellAnchor>
  <xdr:twoCellAnchor editAs="oneCell">
    <xdr:from>
      <xdr:col>26</xdr:col>
      <xdr:colOff>0</xdr:colOff>
      <xdr:row>16</xdr:row>
      <xdr:rowOff>0</xdr:rowOff>
    </xdr:from>
    <xdr:to>
      <xdr:col>26</xdr:col>
      <xdr:colOff>466667</xdr:colOff>
      <xdr:row>21</xdr:row>
      <xdr:rowOff>85595</xdr:rowOff>
    </xdr:to>
    <xdr:pic>
      <xdr:nvPicPr>
        <xdr:cNvPr id="6" name="Picture 5"/>
        <xdr:cNvPicPr>
          <a:picLocks noChangeAspect="1"/>
        </xdr:cNvPicPr>
      </xdr:nvPicPr>
      <xdr:blipFill>
        <a:blip xmlns:r="http://schemas.openxmlformats.org/officeDocument/2006/relationships" r:embed="rId4"/>
        <a:stretch>
          <a:fillRect/>
        </a:stretch>
      </xdr:blipFill>
      <xdr:spPr>
        <a:xfrm>
          <a:off x="20300950" y="4972050"/>
          <a:ext cx="466667" cy="1006345"/>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0.65226</cdr:x>
      <cdr:y>0.92645</cdr:y>
    </cdr:from>
    <cdr:to>
      <cdr:x>0.98252</cdr:x>
      <cdr:y>0.98315</cdr:y>
    </cdr:to>
    <cdr:sp macro="" textlink="">
      <cdr:nvSpPr>
        <cdr:cNvPr id="2" name="TextBox 1"/>
        <cdr:cNvSpPr txBox="1"/>
      </cdr:nvSpPr>
      <cdr:spPr>
        <a:xfrm xmlns:a="http://schemas.openxmlformats.org/drawingml/2006/main">
          <a:off x="3820881" y="4138667"/>
          <a:ext cx="1934622" cy="2532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©ScientificBeekeeping.com</a:t>
          </a:r>
        </a:p>
      </cdr:txBody>
    </cdr:sp>
  </cdr:relSizeAnchor>
  <cdr:relSizeAnchor xmlns:cdr="http://schemas.openxmlformats.org/drawingml/2006/chartDrawing">
    <cdr:from>
      <cdr:x>0.19187</cdr:x>
      <cdr:y>0.01946</cdr:y>
    </cdr:from>
    <cdr:to>
      <cdr:x>0.67154</cdr:x>
      <cdr:y>0.09728</cdr:y>
    </cdr:to>
    <cdr:sp macro="" textlink="">
      <cdr:nvSpPr>
        <cdr:cNvPr id="3" name="TextBox 2"/>
        <cdr:cNvSpPr txBox="1"/>
      </cdr:nvSpPr>
      <cdr:spPr>
        <a:xfrm xmlns:a="http://schemas.openxmlformats.org/drawingml/2006/main">
          <a:off x="1123951" y="86912"/>
          <a:ext cx="2809875" cy="3476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US" sz="1600" b="1" i="0" baseline="0">
              <a:effectLst/>
              <a:latin typeface="+mn-lt"/>
              <a:ea typeface="+mn-ea"/>
              <a:cs typeface="+mn-cs"/>
            </a:rPr>
            <a:t>Projected Growth of the Nuc </a:t>
          </a:r>
          <a:endParaRPr lang="en-US" sz="1600">
            <a:effectLst/>
          </a:endParaRPr>
        </a:p>
        <a:p xmlns:a="http://schemas.openxmlformats.org/drawingml/2006/main">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18"/>
  <sheetViews>
    <sheetView tabSelected="1" topLeftCell="A12" zoomScale="90" zoomScaleNormal="90" workbookViewId="0">
      <selection activeCell="E15" sqref="E15"/>
    </sheetView>
  </sheetViews>
  <sheetFormatPr defaultRowHeight="15" x14ac:dyDescent="0.25"/>
  <cols>
    <col min="1" max="1" width="5.5703125" customWidth="1"/>
    <col min="2" max="2" width="60.7109375" customWidth="1"/>
    <col min="3" max="3" width="5.7109375" customWidth="1"/>
    <col min="4" max="4" width="12.7109375" customWidth="1"/>
    <col min="6" max="6" width="11.7109375" customWidth="1"/>
    <col min="7" max="7" width="10.28515625" bestFit="1" customWidth="1"/>
    <col min="8" max="8" width="12.7109375" customWidth="1"/>
    <col min="11" max="11" width="12" bestFit="1" customWidth="1"/>
    <col min="20" max="20" width="10.7109375" customWidth="1"/>
    <col min="37" max="37" width="12" bestFit="1" customWidth="1"/>
    <col min="38" max="38" width="12" customWidth="1"/>
    <col min="41" max="42" width="12" customWidth="1"/>
    <col min="44" max="44" width="12.85546875" bestFit="1" customWidth="1"/>
    <col min="45" max="45" width="13.140625" bestFit="1" customWidth="1"/>
    <col min="54" max="54" width="9.5703125" bestFit="1" customWidth="1"/>
  </cols>
  <sheetData>
    <row r="1" spans="2:7" ht="23.25" x14ac:dyDescent="0.35">
      <c r="C1" s="1"/>
      <c r="D1" s="2"/>
    </row>
    <row r="2" spans="2:7" ht="23.25" x14ac:dyDescent="0.35">
      <c r="B2" s="1" t="s">
        <v>84</v>
      </c>
      <c r="C2" s="3"/>
      <c r="D2" s="2"/>
      <c r="E2" s="4"/>
    </row>
    <row r="3" spans="2:7" x14ac:dyDescent="0.25">
      <c r="D3" s="5" t="s">
        <v>0</v>
      </c>
    </row>
    <row r="4" spans="2:7" ht="5.0999999999999996" customHeight="1" x14ac:dyDescent="0.25"/>
    <row r="5" spans="2:7" ht="50.1" customHeight="1" x14ac:dyDescent="0.25">
      <c r="B5" s="6" t="s">
        <v>1</v>
      </c>
      <c r="C5" s="6"/>
      <c r="D5" s="7" t="s">
        <v>2</v>
      </c>
      <c r="E5" s="8">
        <v>4.5</v>
      </c>
      <c r="F5" s="9" t="s">
        <v>3</v>
      </c>
    </row>
    <row r="6" spans="2:7" ht="5.0999999999999996" customHeight="1" x14ac:dyDescent="0.25">
      <c r="D6" s="10"/>
      <c r="E6" s="10"/>
      <c r="F6" s="11"/>
    </row>
    <row r="7" spans="2:7" ht="5.0999999999999996" customHeight="1" x14ac:dyDescent="0.25">
      <c r="D7" s="12"/>
      <c r="E7" s="12"/>
      <c r="F7" s="11"/>
    </row>
    <row r="8" spans="2:7" ht="60" customHeight="1" x14ac:dyDescent="0.25">
      <c r="B8" s="6" t="s">
        <v>4</v>
      </c>
      <c r="C8" s="6"/>
      <c r="D8" s="7" t="s">
        <v>5</v>
      </c>
      <c r="E8" s="8">
        <v>2</v>
      </c>
      <c r="F8" s="9" t="s">
        <v>6</v>
      </c>
    </row>
    <row r="9" spans="2:7" ht="5.0999999999999996" customHeight="1" x14ac:dyDescent="0.25">
      <c r="D9" s="10"/>
      <c r="E9" s="10">
        <v>2</v>
      </c>
      <c r="F9" s="11"/>
    </row>
    <row r="10" spans="2:7" ht="5.0999999999999996" customHeight="1" x14ac:dyDescent="0.25">
      <c r="D10" s="13"/>
      <c r="E10" s="14"/>
      <c r="F10" s="11"/>
    </row>
    <row r="11" spans="2:7" ht="45" customHeight="1" x14ac:dyDescent="0.25">
      <c r="B11" s="15" t="s">
        <v>7</v>
      </c>
      <c r="C11" s="15"/>
      <c r="D11" s="16" t="str">
        <f>IF(E11="L","Laying queen",IF(E11="c","Queen cell",IF(E11="w","Queenless walkaway","Error")))</f>
        <v>Queen cell</v>
      </c>
      <c r="E11" s="8" t="s">
        <v>8</v>
      </c>
      <c r="F11" s="9" t="s">
        <v>9</v>
      </c>
    </row>
    <row r="12" spans="2:7" ht="5.0999999999999996" customHeight="1" x14ac:dyDescent="0.25">
      <c r="D12" s="17"/>
      <c r="E12" s="17"/>
      <c r="F12" s="11"/>
    </row>
    <row r="13" spans="2:7" ht="60" customHeight="1" x14ac:dyDescent="0.25">
      <c r="B13" s="18" t="s">
        <v>10</v>
      </c>
      <c r="C13" s="18"/>
      <c r="D13" s="16">
        <f>IF(E13="G", 2000,IF(E13="A",1500,IF(E13="E",2400,"Error")))</f>
        <v>1500</v>
      </c>
      <c r="E13" s="8" t="s">
        <v>14</v>
      </c>
      <c r="F13" s="9" t="s">
        <v>12</v>
      </c>
    </row>
    <row r="14" spans="2:7" ht="5.0999999999999996" customHeight="1" x14ac:dyDescent="0.25">
      <c r="E14" t="s">
        <v>11</v>
      </c>
      <c r="F14" s="11"/>
    </row>
    <row r="15" spans="2:7" ht="75" customHeight="1" x14ac:dyDescent="0.25">
      <c r="B15" s="19" t="s">
        <v>13</v>
      </c>
      <c r="C15" s="19"/>
      <c r="D15" s="16" t="str">
        <f>IF(E15="A","Average conditions",IF(E15="P","Perfect weather and bloom",IF(E15="C","Suboptimal weather, temperature, or bloom","Error")))</f>
        <v>Average conditions</v>
      </c>
      <c r="E15" s="20" t="s">
        <v>14</v>
      </c>
      <c r="F15" s="9" t="s">
        <v>15</v>
      </c>
    </row>
    <row r="16" spans="2:7" ht="5.0999999999999996" customHeight="1" x14ac:dyDescent="0.25">
      <c r="G16" s="21"/>
    </row>
    <row r="17" spans="2:66" ht="14.45" customHeight="1" x14ac:dyDescent="0.25">
      <c r="B17" t="s">
        <v>16</v>
      </c>
      <c r="E17" s="90" t="s">
        <v>17</v>
      </c>
      <c r="F17" s="90"/>
      <c r="G17" s="91" t="s">
        <v>18</v>
      </c>
      <c r="H17" s="91"/>
      <c r="I17" s="91"/>
      <c r="J17" s="91"/>
      <c r="K17" s="91"/>
      <c r="L17" s="91"/>
      <c r="M17" s="91"/>
      <c r="N17" s="91"/>
      <c r="O17" s="91"/>
      <c r="P17" s="91"/>
      <c r="AB17">
        <v>1.8</v>
      </c>
    </row>
    <row r="18" spans="2:66" ht="14.45" customHeight="1" x14ac:dyDescent="0.25">
      <c r="E18" s="90"/>
      <c r="F18" s="90"/>
      <c r="G18" s="91"/>
      <c r="H18" s="91"/>
      <c r="I18" s="91"/>
      <c r="J18" s="91"/>
      <c r="K18" s="91"/>
      <c r="L18" s="91"/>
      <c r="M18" s="91"/>
      <c r="N18" s="91"/>
      <c r="O18" s="91"/>
      <c r="P18" s="91"/>
      <c r="AB18">
        <v>2.74</v>
      </c>
    </row>
    <row r="19" spans="2:66" x14ac:dyDescent="0.25">
      <c r="E19" s="90"/>
      <c r="F19" s="90"/>
      <c r="G19" s="91"/>
      <c r="H19" s="91"/>
      <c r="I19" s="91"/>
      <c r="J19" s="91"/>
      <c r="K19" s="91"/>
      <c r="L19" s="91"/>
      <c r="M19" s="91"/>
      <c r="N19" s="91"/>
      <c r="O19" s="91"/>
      <c r="P19" s="91"/>
      <c r="AB19">
        <v>3.58</v>
      </c>
      <c r="BB19" s="22"/>
      <c r="BC19" s="22"/>
      <c r="BD19" s="22"/>
    </row>
    <row r="20" spans="2:66" x14ac:dyDescent="0.25">
      <c r="E20" s="90"/>
      <c r="F20" s="90"/>
      <c r="G20" s="91"/>
      <c r="H20" s="91"/>
      <c r="I20" s="91"/>
      <c r="J20" s="91"/>
      <c r="K20" s="91"/>
      <c r="L20" s="91"/>
      <c r="M20" s="91"/>
      <c r="N20" s="91"/>
      <c r="O20" s="91"/>
      <c r="P20" s="91"/>
      <c r="AB20">
        <v>4.18</v>
      </c>
      <c r="BB20" s="23"/>
      <c r="BC20" s="23"/>
      <c r="BD20" s="23"/>
    </row>
    <row r="21" spans="2:66" x14ac:dyDescent="0.25">
      <c r="E21" s="90"/>
      <c r="F21" s="90"/>
      <c r="G21" s="5" t="s">
        <v>19</v>
      </c>
      <c r="K21" s="24"/>
      <c r="L21" s="24"/>
      <c r="AB21">
        <v>2.61</v>
      </c>
      <c r="BB21" s="22"/>
      <c r="BC21" s="22"/>
      <c r="BD21" s="22"/>
    </row>
    <row r="22" spans="2:66" ht="15" customHeight="1" x14ac:dyDescent="0.25">
      <c r="E22" s="90"/>
      <c r="F22" s="90"/>
      <c r="G22" t="s">
        <v>20</v>
      </c>
      <c r="K22" s="25"/>
      <c r="AB22">
        <v>3.23</v>
      </c>
      <c r="BB22" s="22"/>
      <c r="BC22" s="22"/>
    </row>
    <row r="23" spans="2:66" x14ac:dyDescent="0.25">
      <c r="E23" s="26">
        <v>0</v>
      </c>
      <c r="F23" s="96"/>
      <c r="G23" s="27" t="s">
        <v>83</v>
      </c>
      <c r="AB23">
        <v>2.52</v>
      </c>
      <c r="BB23" s="22"/>
      <c r="BC23" s="22"/>
    </row>
    <row r="24" spans="2:66" x14ac:dyDescent="0.25">
      <c r="E24" s="28">
        <f t="shared" ref="E24:E35" si="0">E23+6</f>
        <v>6</v>
      </c>
      <c r="F24" s="96"/>
      <c r="G24" s="27" t="s">
        <v>21</v>
      </c>
      <c r="L24" s="29"/>
      <c r="M24" s="29"/>
      <c r="N24" s="29"/>
      <c r="AB24">
        <v>2.2799999999999998</v>
      </c>
      <c r="BB24" s="22"/>
      <c r="BC24" s="22"/>
    </row>
    <row r="25" spans="2:66" x14ac:dyDescent="0.25">
      <c r="E25" s="28">
        <f t="shared" si="0"/>
        <v>12</v>
      </c>
      <c r="F25" s="96"/>
      <c r="G25" s="27" t="s">
        <v>22</v>
      </c>
      <c r="K25" s="25"/>
      <c r="L25" s="30"/>
      <c r="M25" s="30"/>
      <c r="N25" s="30"/>
      <c r="AB25">
        <v>1.44</v>
      </c>
      <c r="BB25" s="22"/>
      <c r="BC25" s="22"/>
      <c r="BD25" s="22"/>
    </row>
    <row r="26" spans="2:66" x14ac:dyDescent="0.25">
      <c r="E26" s="28">
        <f t="shared" si="0"/>
        <v>18</v>
      </c>
      <c r="F26" s="96"/>
      <c r="G26" s="27" t="s">
        <v>82</v>
      </c>
      <c r="K26" s="29"/>
      <c r="AB26">
        <f>SUM(AVERAGE(AB17:AB25))</f>
        <v>2.7088888888888891</v>
      </c>
      <c r="AC26">
        <f>AB26*10500</f>
        <v>28443.333333333336</v>
      </c>
      <c r="AD26">
        <f>AC26/2000</f>
        <v>14.221666666666668</v>
      </c>
      <c r="BG26" s="31"/>
      <c r="BH26" s="31"/>
      <c r="BI26" s="31"/>
      <c r="BJ26" s="31"/>
      <c r="BK26" s="31"/>
      <c r="BL26" s="31"/>
      <c r="BM26" s="31"/>
      <c r="BN26" s="31"/>
    </row>
    <row r="27" spans="2:66" ht="15" customHeight="1" x14ac:dyDescent="0.25">
      <c r="E27" s="28">
        <f t="shared" si="0"/>
        <v>24</v>
      </c>
      <c r="F27" s="96"/>
      <c r="G27" s="27" t="s">
        <v>23</v>
      </c>
      <c r="K27" s="30"/>
      <c r="AJ27" s="5"/>
      <c r="BG27" s="31"/>
      <c r="BH27" s="31"/>
      <c r="BI27" s="31"/>
      <c r="BJ27" s="31"/>
      <c r="BK27" s="31"/>
      <c r="BL27" s="31"/>
      <c r="BM27" s="31"/>
      <c r="BN27" s="31"/>
    </row>
    <row r="28" spans="2:66" x14ac:dyDescent="0.25">
      <c r="E28" s="28">
        <f t="shared" si="0"/>
        <v>30</v>
      </c>
      <c r="F28" s="96"/>
      <c r="G28" s="32" t="s">
        <v>24</v>
      </c>
    </row>
    <row r="29" spans="2:66" x14ac:dyDescent="0.25">
      <c r="E29" s="28">
        <f t="shared" si="0"/>
        <v>36</v>
      </c>
      <c r="F29" s="96"/>
      <c r="G29" s="33">
        <v>2000</v>
      </c>
      <c r="H29" s="27" t="s">
        <v>25</v>
      </c>
      <c r="J29" s="34"/>
    </row>
    <row r="30" spans="2:66" x14ac:dyDescent="0.25">
      <c r="E30" s="28">
        <f t="shared" si="0"/>
        <v>42</v>
      </c>
      <c r="F30" s="96"/>
      <c r="G30" s="33">
        <v>4500</v>
      </c>
      <c r="H30" s="27" t="s">
        <v>26</v>
      </c>
      <c r="J30" s="30"/>
    </row>
    <row r="31" spans="2:66" x14ac:dyDescent="0.25">
      <c r="E31" s="28">
        <f t="shared" si="0"/>
        <v>48</v>
      </c>
      <c r="F31" s="96"/>
      <c r="G31" s="27" t="s">
        <v>27</v>
      </c>
    </row>
    <row r="32" spans="2:66" x14ac:dyDescent="0.25">
      <c r="E32" s="28">
        <f t="shared" si="0"/>
        <v>54</v>
      </c>
      <c r="F32" s="96"/>
      <c r="G32" s="27" t="s">
        <v>28</v>
      </c>
    </row>
    <row r="33" spans="3:73" x14ac:dyDescent="0.25">
      <c r="E33" s="28">
        <f t="shared" si="0"/>
        <v>60</v>
      </c>
      <c r="F33" s="96" t="s">
        <v>29</v>
      </c>
    </row>
    <row r="34" spans="3:73" x14ac:dyDescent="0.25">
      <c r="E34" s="28">
        <f t="shared" si="0"/>
        <v>66</v>
      </c>
      <c r="F34" s="96"/>
      <c r="BB34" s="22"/>
      <c r="BC34" s="22"/>
      <c r="BD34" s="22"/>
    </row>
    <row r="35" spans="3:73" x14ac:dyDescent="0.25">
      <c r="E35" s="28">
        <f t="shared" si="0"/>
        <v>72</v>
      </c>
      <c r="F35" s="96"/>
      <c r="BB35" s="22"/>
      <c r="BC35" s="22"/>
      <c r="BD35" s="22"/>
    </row>
    <row r="36" spans="3:73" ht="60" x14ac:dyDescent="0.25">
      <c r="D36" s="35" t="s">
        <v>30</v>
      </c>
      <c r="E36" s="36"/>
      <c r="F36" s="37" t="s">
        <v>31</v>
      </c>
      <c r="G36" s="92" t="s">
        <v>32</v>
      </c>
      <c r="H36" s="93"/>
      <c r="I36" s="93"/>
      <c r="J36" s="94"/>
      <c r="K36" s="92" t="s">
        <v>33</v>
      </c>
      <c r="L36" s="93"/>
      <c r="M36" s="93"/>
      <c r="N36" s="93"/>
      <c r="O36" s="93"/>
      <c r="P36" s="93"/>
      <c r="Q36" s="93"/>
      <c r="R36" s="93"/>
      <c r="S36" s="94"/>
      <c r="T36" s="37" t="s">
        <v>31</v>
      </c>
      <c r="U36" s="37" t="s">
        <v>34</v>
      </c>
      <c r="V36" s="37" t="s">
        <v>35</v>
      </c>
      <c r="W36" s="36" t="s">
        <v>36</v>
      </c>
      <c r="X36" s="38" t="s">
        <v>37</v>
      </c>
      <c r="Y36" s="36" t="s">
        <v>38</v>
      </c>
      <c r="Z36" s="36" t="s">
        <v>39</v>
      </c>
      <c r="AA36" s="36" t="s">
        <v>40</v>
      </c>
      <c r="AB36" s="38" t="s">
        <v>41</v>
      </c>
      <c r="AC36" s="36" t="s">
        <v>42</v>
      </c>
      <c r="AD36" s="36" t="s">
        <v>43</v>
      </c>
      <c r="AE36" s="36" t="s">
        <v>44</v>
      </c>
      <c r="AF36" s="36" t="s">
        <v>45</v>
      </c>
      <c r="AG36" s="36" t="s">
        <v>46</v>
      </c>
      <c r="AH36" s="36" t="s">
        <v>47</v>
      </c>
      <c r="AI36" s="36" t="s">
        <v>48</v>
      </c>
      <c r="AJ36" s="39"/>
      <c r="AK36" s="39"/>
      <c r="AL36" s="40" t="s">
        <v>49</v>
      </c>
    </row>
    <row r="37" spans="3:73" x14ac:dyDescent="0.25">
      <c r="C37" s="41"/>
      <c r="D37" s="35"/>
      <c r="E37" s="39" t="s">
        <v>50</v>
      </c>
      <c r="F37" s="42" t="s">
        <v>14</v>
      </c>
      <c r="G37" s="42" t="s">
        <v>51</v>
      </c>
      <c r="H37" s="42" t="s">
        <v>8</v>
      </c>
      <c r="I37" s="42" t="s">
        <v>52</v>
      </c>
      <c r="J37" s="42" t="s">
        <v>53</v>
      </c>
      <c r="K37" s="42" t="s">
        <v>54</v>
      </c>
      <c r="L37" s="42" t="s">
        <v>11</v>
      </c>
      <c r="M37" s="42" t="s">
        <v>55</v>
      </c>
      <c r="N37" s="42" t="s">
        <v>56</v>
      </c>
      <c r="O37" s="42" t="s">
        <v>57</v>
      </c>
      <c r="P37" s="42" t="s">
        <v>58</v>
      </c>
      <c r="Q37" s="42" t="s">
        <v>59</v>
      </c>
      <c r="R37" s="42" t="s">
        <v>60</v>
      </c>
      <c r="S37" s="42" t="s">
        <v>61</v>
      </c>
      <c r="T37" s="42"/>
      <c r="U37" s="42"/>
      <c r="V37" s="43"/>
      <c r="W37" s="39"/>
      <c r="X37" s="39"/>
      <c r="Y37" s="39"/>
      <c r="Z37" s="39"/>
      <c r="AA37" s="9"/>
      <c r="AB37" s="39"/>
      <c r="AC37" s="44">
        <f>D13*6</f>
        <v>9000</v>
      </c>
      <c r="AD37" s="9"/>
      <c r="AE37" s="39"/>
      <c r="AF37" s="28"/>
      <c r="AG37" s="9"/>
      <c r="AH37" s="9"/>
      <c r="AI37" s="9"/>
      <c r="AJ37" s="39"/>
      <c r="AK37" s="39"/>
      <c r="AL37" s="39"/>
      <c r="AN37" s="95" t="s">
        <v>62</v>
      </c>
      <c r="AO37" s="95"/>
      <c r="BB37" s="45"/>
      <c r="BC37" s="45"/>
      <c r="BD37" s="45"/>
      <c r="BG37" t="s">
        <v>63</v>
      </c>
    </row>
    <row r="38" spans="3:73" x14ac:dyDescent="0.25">
      <c r="C38" s="41"/>
      <c r="D38" s="39"/>
      <c r="E38" s="36" t="s">
        <v>64</v>
      </c>
      <c r="F38" s="39"/>
      <c r="G38" s="39"/>
      <c r="H38" s="39"/>
      <c r="I38" s="39"/>
      <c r="J38" s="39"/>
      <c r="K38" s="46"/>
      <c r="L38" s="46"/>
      <c r="M38" s="46"/>
      <c r="N38" s="46"/>
      <c r="O38" s="46"/>
      <c r="P38" s="46"/>
      <c r="Q38" s="46"/>
      <c r="R38" s="46"/>
      <c r="S38" s="46"/>
      <c r="T38" s="46"/>
      <c r="U38" s="46"/>
      <c r="V38" s="46"/>
      <c r="W38" s="9"/>
      <c r="X38" s="36"/>
      <c r="Y38" s="39"/>
      <c r="Z38" s="39"/>
      <c r="AA38" s="9"/>
      <c r="AB38" s="39"/>
      <c r="AC38" s="9"/>
      <c r="AD38" s="9"/>
      <c r="AE38" s="39"/>
      <c r="AF38" s="28"/>
      <c r="AG38" s="9"/>
      <c r="AH38" s="9"/>
      <c r="AI38" s="9"/>
      <c r="AJ38" s="35" t="s">
        <v>65</v>
      </c>
      <c r="AK38" s="35" t="s">
        <v>66</v>
      </c>
      <c r="AL38" s="35"/>
      <c r="AN38" s="35" t="s">
        <v>64</v>
      </c>
      <c r="AO38" s="35" t="s">
        <v>67</v>
      </c>
      <c r="AR38" t="s">
        <v>68</v>
      </c>
      <c r="BB38" s="45"/>
      <c r="BC38" s="45"/>
      <c r="BD38" s="45"/>
      <c r="BG38" s="85" t="s">
        <v>64</v>
      </c>
      <c r="BH38" s="86"/>
      <c r="BI38" s="86"/>
      <c r="BJ38" s="86"/>
      <c r="BK38" s="86"/>
      <c r="BL38" s="86"/>
      <c r="BM38" s="86"/>
      <c r="BN38" s="86"/>
      <c r="BO38" s="86"/>
      <c r="BP38" s="86"/>
      <c r="BQ38" s="86"/>
      <c r="BR38" s="86"/>
      <c r="BS38" s="86"/>
      <c r="BT38" s="87"/>
      <c r="BU38" s="47"/>
    </row>
    <row r="39" spans="3:73" x14ac:dyDescent="0.25">
      <c r="C39" s="48" t="str">
        <f>IF($E$11="L","Initiation of egglaying by new queen this day","")</f>
        <v/>
      </c>
      <c r="D39" s="49" t="str">
        <f t="shared" ref="D39:D51" si="1">$E$15</f>
        <v>A</v>
      </c>
      <c r="E39" s="26">
        <v>0</v>
      </c>
      <c r="F39" s="50">
        <f>E5*G29</f>
        <v>9000</v>
      </c>
      <c r="G39" s="51">
        <v>0</v>
      </c>
      <c r="H39" s="40"/>
      <c r="I39" s="39"/>
      <c r="J39" s="39"/>
      <c r="K39" s="52"/>
      <c r="L39" s="52"/>
      <c r="M39" s="52"/>
      <c r="N39" s="53"/>
      <c r="O39" s="52"/>
      <c r="P39" s="52"/>
      <c r="Q39" s="52"/>
      <c r="R39" s="52"/>
      <c r="S39" s="52"/>
      <c r="T39" s="43">
        <f>F39</f>
        <v>9000</v>
      </c>
      <c r="U39" s="43">
        <f>SUM(G39:J39)</f>
        <v>0</v>
      </c>
      <c r="V39" s="43">
        <f>SUM(K39:S39)</f>
        <v>0</v>
      </c>
      <c r="W39" s="54">
        <f>SUM(T39:V39)</f>
        <v>9000</v>
      </c>
      <c r="X39" s="55">
        <f>IF(D39="P", W39*2,IF(D39="A",W39*1.5,IF(D39="C",W39*1,"error")))</f>
        <v>13500</v>
      </c>
      <c r="Y39" s="50">
        <f>E8*G30</f>
        <v>9000</v>
      </c>
      <c r="Z39" s="52"/>
      <c r="AA39" s="56">
        <f>X39/20*3</f>
        <v>2025</v>
      </c>
      <c r="AB39" s="42" t="str">
        <f t="shared" ref="AB39:AB51" si="2">IF(AB38="Y","Y",IF(C39="","N","Y"))</f>
        <v>N</v>
      </c>
      <c r="AC39" s="55">
        <f t="shared" ref="AC39:AC51" si="3">IF(AB39="",0,$AC$37)</f>
        <v>9000</v>
      </c>
      <c r="AD39" s="57">
        <f>IF(AB39="N", 0,IF(C39="Initiation of egglaying by new queen this day",IF(AA39&gt;AC39,AC39,AA39),IF(AA39&gt;AC39,AC39,AA39)))</f>
        <v>0</v>
      </c>
      <c r="AE39" s="58">
        <f t="shared" ref="AE39:AF51" si="4">T39/$G$29</f>
        <v>4.5</v>
      </c>
      <c r="AF39" s="59">
        <f t="shared" si="4"/>
        <v>0</v>
      </c>
      <c r="AG39" s="55">
        <f t="shared" ref="AG39:AG51" si="5">Y39/$G$30</f>
        <v>2</v>
      </c>
      <c r="AH39" s="55">
        <f t="shared" ref="AH39:AH51" si="6">V39/$G$29</f>
        <v>0</v>
      </c>
      <c r="AI39" s="55">
        <f t="shared" ref="AI39:AI51" si="7">Z39/$G$30</f>
        <v>0</v>
      </c>
      <c r="AJ39" s="35" t="s">
        <v>14</v>
      </c>
      <c r="AK39" s="44" t="s">
        <v>69</v>
      </c>
      <c r="AL39" s="39">
        <f>IF(F23="x",20,0)</f>
        <v>0</v>
      </c>
      <c r="AN39" s="28">
        <v>0</v>
      </c>
      <c r="AO39" s="60">
        <v>1</v>
      </c>
      <c r="BG39" s="28">
        <v>0</v>
      </c>
      <c r="BH39" s="28">
        <f>BG39+6</f>
        <v>6</v>
      </c>
      <c r="BI39" s="28">
        <f t="shared" ref="BI39:BT39" si="8">BH39+6</f>
        <v>12</v>
      </c>
      <c r="BJ39" s="28">
        <f t="shared" si="8"/>
        <v>18</v>
      </c>
      <c r="BK39" s="28">
        <f t="shared" si="8"/>
        <v>24</v>
      </c>
      <c r="BL39" s="28">
        <f t="shared" si="8"/>
        <v>30</v>
      </c>
      <c r="BM39" s="28">
        <f t="shared" si="8"/>
        <v>36</v>
      </c>
      <c r="BN39" s="28">
        <f t="shared" si="8"/>
        <v>42</v>
      </c>
      <c r="BO39" s="28">
        <f t="shared" si="8"/>
        <v>48</v>
      </c>
      <c r="BP39" s="28">
        <f t="shared" si="8"/>
        <v>54</v>
      </c>
      <c r="BQ39" s="28">
        <f t="shared" si="8"/>
        <v>60</v>
      </c>
      <c r="BR39" s="28">
        <f t="shared" si="8"/>
        <v>66</v>
      </c>
      <c r="BS39" s="28">
        <f t="shared" si="8"/>
        <v>72</v>
      </c>
      <c r="BT39" s="28">
        <f t="shared" si="8"/>
        <v>78</v>
      </c>
      <c r="BU39" s="28"/>
    </row>
    <row r="40" spans="3:73" x14ac:dyDescent="0.25">
      <c r="C40" s="48"/>
      <c r="D40" s="49" t="str">
        <f t="shared" si="1"/>
        <v>A</v>
      </c>
      <c r="E40" s="28">
        <f t="shared" ref="E40:E51" si="9">E39+6</f>
        <v>6</v>
      </c>
      <c r="F40" s="55">
        <f>BU44</f>
        <v>7575.2493526243379</v>
      </c>
      <c r="G40" s="61">
        <f>($Y$39/21)*6</f>
        <v>2571.4285714285716</v>
      </c>
      <c r="H40" s="61"/>
      <c r="I40" s="61"/>
      <c r="J40" s="61"/>
      <c r="K40" s="62"/>
      <c r="L40" s="62"/>
      <c r="M40" s="62"/>
      <c r="N40" s="63"/>
      <c r="O40" s="62"/>
      <c r="P40" s="62"/>
      <c r="Q40" s="62"/>
      <c r="R40" s="62"/>
      <c r="S40" s="62"/>
      <c r="T40" s="43">
        <f t="shared" ref="T40:T51" si="10">F40</f>
        <v>7575.2493526243379</v>
      </c>
      <c r="U40" s="43">
        <f>SUM(G40:J40)</f>
        <v>2571.4285714285716</v>
      </c>
      <c r="V40" s="43">
        <f t="shared" ref="V40:V51" si="11">SUM(K40:S40)</f>
        <v>0</v>
      </c>
      <c r="W40" s="54">
        <f>SUM(T40:V40)</f>
        <v>10146.67792405291</v>
      </c>
      <c r="X40" s="55">
        <f t="shared" ref="X40:X51" si="12">IF(D40="P", W40*2,IF(D40="A",W40*1.5,IF(D40="C",W40*1,"error")))</f>
        <v>15220.016886079366</v>
      </c>
      <c r="Y40" s="55">
        <f>$Y$39-G40</f>
        <v>6428.5714285714284</v>
      </c>
      <c r="Z40" s="64">
        <f t="shared" ref="Z40:Z51" si="13">SUM(AD37:AD39)</f>
        <v>0</v>
      </c>
      <c r="AA40" s="65">
        <f>IF(Z40&gt;X40,0,IF(W40&lt;2000,0,(X40-Y40-Z40)))</f>
        <v>8791.4454575079362</v>
      </c>
      <c r="AB40" s="42" t="str">
        <f t="shared" si="2"/>
        <v>N</v>
      </c>
      <c r="AC40" s="55">
        <f t="shared" si="3"/>
        <v>9000</v>
      </c>
      <c r="AD40" s="57">
        <f t="shared" ref="AD40:AD51" si="14">IF(AB40="N", 0,IF(C40="Initiation of egglaying by new queen this day",IF(AA40&gt;AC40,AC40,AA40),IF(AA40&gt;AC40,AC40,AA40)))</f>
        <v>0</v>
      </c>
      <c r="AE40" s="58">
        <f t="shared" si="4"/>
        <v>3.787624676312169</v>
      </c>
      <c r="AF40" s="59">
        <f t="shared" si="4"/>
        <v>1.2857142857142858</v>
      </c>
      <c r="AG40" s="55">
        <f t="shared" si="5"/>
        <v>1.4285714285714286</v>
      </c>
      <c r="AH40" s="55">
        <f t="shared" si="6"/>
        <v>0</v>
      </c>
      <c r="AI40" s="55">
        <f t="shared" si="7"/>
        <v>0</v>
      </c>
      <c r="AJ40" s="35" t="s">
        <v>51</v>
      </c>
      <c r="AK40" s="44" t="str">
        <f t="shared" ref="AK40:AK51" si="15">AB39</f>
        <v>N</v>
      </c>
      <c r="AL40" s="39">
        <f t="shared" ref="AL40:AL51" si="16">IF(F24="x",20,0)</f>
        <v>0</v>
      </c>
      <c r="AN40" s="28">
        <v>6</v>
      </c>
      <c r="AO40" s="60">
        <v>0.97616649882510909</v>
      </c>
      <c r="BG40" s="39">
        <v>1</v>
      </c>
      <c r="BH40" s="39">
        <v>0.97616649882510909</v>
      </c>
      <c r="BI40" s="39">
        <v>0.95233299765021817</v>
      </c>
      <c r="BJ40" s="39">
        <v>0.85487299988810561</v>
      </c>
      <c r="BK40" s="39">
        <v>0.75741300212599305</v>
      </c>
      <c r="BL40" s="39">
        <v>0.61648204095334003</v>
      </c>
      <c r="BM40" s="39">
        <v>0.47555107978068706</v>
      </c>
      <c r="BN40" s="39">
        <v>0.348718809443885</v>
      </c>
      <c r="BO40" s="39">
        <v>0.22188653910708292</v>
      </c>
      <c r="BP40" s="39">
        <v>0.13902875685353028</v>
      </c>
      <c r="BQ40" s="39">
        <v>5.6170974599977622E-2</v>
      </c>
      <c r="BR40" s="39">
        <v>3.0435269105963971E-2</v>
      </c>
      <c r="BS40" s="39">
        <v>4.6995636119503189E-3</v>
      </c>
      <c r="BT40" s="39">
        <v>1.1189437171310284E-4</v>
      </c>
      <c r="BU40" s="39" t="s">
        <v>70</v>
      </c>
    </row>
    <row r="41" spans="3:73" x14ac:dyDescent="0.25">
      <c r="C41" s="48" t="str">
        <f>IF($E$11="C","Initiation of egglaying by new queen this day","")</f>
        <v>Initiation of egglaying by new queen this day</v>
      </c>
      <c r="D41" s="49" t="str">
        <f t="shared" si="1"/>
        <v>A</v>
      </c>
      <c r="E41" s="28">
        <f t="shared" si="9"/>
        <v>12</v>
      </c>
      <c r="F41" s="55">
        <f t="shared" ref="F41:F51" si="17">BU45</f>
        <v>7120.4049590617587</v>
      </c>
      <c r="G41" s="61">
        <f>G40*IF($E$11="L",$E60,IF($E$11="C",$F60,$G60))</f>
        <v>2442.8571428571427</v>
      </c>
      <c r="H41" s="61">
        <f>($Y$39/21)*6</f>
        <v>2571.4285714285716</v>
      </c>
      <c r="I41" s="61"/>
      <c r="J41" s="61"/>
      <c r="K41" s="62"/>
      <c r="L41" s="62"/>
      <c r="M41" s="62"/>
      <c r="N41" s="63"/>
      <c r="O41" s="62"/>
      <c r="P41" s="62"/>
      <c r="Q41" s="62"/>
      <c r="R41" s="62"/>
      <c r="S41" s="62"/>
      <c r="T41" s="43">
        <f t="shared" si="10"/>
        <v>7120.4049590617587</v>
      </c>
      <c r="U41" s="43">
        <f t="shared" ref="U41:U50" si="18">SUM(G41:J41)</f>
        <v>5014.2857142857138</v>
      </c>
      <c r="V41" s="43">
        <f t="shared" si="11"/>
        <v>0</v>
      </c>
      <c r="W41" s="54">
        <f>SUM(T41:V41)</f>
        <v>12134.690673347472</v>
      </c>
      <c r="X41" s="55">
        <f t="shared" si="12"/>
        <v>18202.036010021206</v>
      </c>
      <c r="Y41" s="55">
        <f>$Y$39-(G40+H41)</f>
        <v>3857.1428571428569</v>
      </c>
      <c r="Z41" s="64">
        <f t="shared" si="13"/>
        <v>0</v>
      </c>
      <c r="AA41" s="65">
        <f>IF(Z41&gt;X41,0,IF(W41&lt;2000,0,(X41-Y41-Z41)))</f>
        <v>14344.893152878349</v>
      </c>
      <c r="AB41" s="42" t="str">
        <f t="shared" si="2"/>
        <v>Y</v>
      </c>
      <c r="AC41" s="55">
        <f t="shared" si="3"/>
        <v>9000</v>
      </c>
      <c r="AD41" s="57">
        <f t="shared" si="14"/>
        <v>9000</v>
      </c>
      <c r="AE41" s="58">
        <f t="shared" si="4"/>
        <v>3.5602024795308793</v>
      </c>
      <c r="AF41" s="59">
        <f t="shared" si="4"/>
        <v>2.5071428571428567</v>
      </c>
      <c r="AG41" s="55">
        <f t="shared" si="5"/>
        <v>0.8571428571428571</v>
      </c>
      <c r="AH41" s="55">
        <f t="shared" si="6"/>
        <v>0</v>
      </c>
      <c r="AI41" s="55">
        <f t="shared" si="7"/>
        <v>0</v>
      </c>
      <c r="AJ41" s="35" t="s">
        <v>8</v>
      </c>
      <c r="AK41" s="44" t="str">
        <f t="shared" si="15"/>
        <v>N</v>
      </c>
      <c r="AL41" s="39">
        <f t="shared" si="16"/>
        <v>0</v>
      </c>
      <c r="AN41" s="28">
        <v>12</v>
      </c>
      <c r="AO41" s="60">
        <v>0.96295048143053641</v>
      </c>
      <c r="AQ41" s="35" t="s">
        <v>64</v>
      </c>
      <c r="AR41" s="66" t="s">
        <v>71</v>
      </c>
      <c r="AS41" s="66" t="s">
        <v>72</v>
      </c>
      <c r="BC41" s="88"/>
      <c r="BD41" s="88" t="s">
        <v>72</v>
      </c>
      <c r="BE41" s="39"/>
      <c r="BF41" s="39"/>
      <c r="BG41" s="28">
        <f t="shared" ref="BG41:BT41" si="19">BG40*100</f>
        <v>100</v>
      </c>
      <c r="BH41" s="61">
        <f t="shared" si="19"/>
        <v>97.616649882510913</v>
      </c>
      <c r="BI41" s="61">
        <f t="shared" si="19"/>
        <v>95.233299765021812</v>
      </c>
      <c r="BJ41" s="61">
        <f t="shared" si="19"/>
        <v>85.487299988810562</v>
      </c>
      <c r="BK41" s="61">
        <f t="shared" si="19"/>
        <v>75.741300212599299</v>
      </c>
      <c r="BL41" s="61">
        <f t="shared" si="19"/>
        <v>61.648204095334002</v>
      </c>
      <c r="BM41" s="61">
        <f t="shared" si="19"/>
        <v>47.555107978068705</v>
      </c>
      <c r="BN41" s="61">
        <f t="shared" si="19"/>
        <v>34.871880944388501</v>
      </c>
      <c r="BO41" s="61">
        <f t="shared" si="19"/>
        <v>22.188653910708293</v>
      </c>
      <c r="BP41" s="61">
        <f t="shared" si="19"/>
        <v>13.902875685353028</v>
      </c>
      <c r="BQ41" s="61">
        <f t="shared" si="19"/>
        <v>5.6170974599977619</v>
      </c>
      <c r="BR41" s="61">
        <f t="shared" si="19"/>
        <v>3.0435269105963969</v>
      </c>
      <c r="BS41" s="61">
        <f t="shared" si="19"/>
        <v>0.46995636119503187</v>
      </c>
      <c r="BT41" s="61">
        <f t="shared" si="19"/>
        <v>1.1189437171310284E-2</v>
      </c>
      <c r="BU41" s="67">
        <f>SUM(BG41:BT41)</f>
        <v>643.38704263175555</v>
      </c>
    </row>
    <row r="42" spans="3:73" x14ac:dyDescent="0.25">
      <c r="C42" s="48"/>
      <c r="D42" s="49" t="str">
        <f t="shared" si="1"/>
        <v>A</v>
      </c>
      <c r="E42" s="28">
        <f t="shared" si="9"/>
        <v>18</v>
      </c>
      <c r="F42" s="55">
        <f t="shared" si="17"/>
        <v>6578.0415526452734</v>
      </c>
      <c r="G42" s="61">
        <f t="shared" ref="G42:G51" si="20">G41*IF($E$11="L",$E61,IF($E$11="C",$F61,$G61))</f>
        <v>2320.7142857142853</v>
      </c>
      <c r="H42" s="61">
        <f>H41*IF($E$11="L",$E60,IF($E$11="C",$F60,$G60))</f>
        <v>2442.8571428571427</v>
      </c>
      <c r="I42" s="61">
        <f>($Y$39/21)*6</f>
        <v>2571.4285714285716</v>
      </c>
      <c r="J42" s="61"/>
      <c r="K42" s="62"/>
      <c r="L42" s="62"/>
      <c r="M42" s="62"/>
      <c r="N42" s="63"/>
      <c r="O42" s="62"/>
      <c r="P42" s="62"/>
      <c r="Q42" s="62"/>
      <c r="R42" s="62"/>
      <c r="S42" s="62"/>
      <c r="T42" s="43">
        <f t="shared" si="10"/>
        <v>6578.0415526452734</v>
      </c>
      <c r="U42" s="43">
        <f t="shared" si="18"/>
        <v>7334.9999999999991</v>
      </c>
      <c r="V42" s="43">
        <f t="shared" si="11"/>
        <v>0</v>
      </c>
      <c r="W42" s="54">
        <f>SUM(T42:V42)</f>
        <v>13913.041552645273</v>
      </c>
      <c r="X42" s="55">
        <f t="shared" si="12"/>
        <v>20869.56232896791</v>
      </c>
      <c r="Y42" s="55">
        <f>$Y$39-(SUM(G40:G42))</f>
        <v>1665.0000000000009</v>
      </c>
      <c r="Z42" s="64">
        <f t="shared" si="13"/>
        <v>9000</v>
      </c>
      <c r="AA42" s="65">
        <f t="shared" ref="AA42:AA51" si="21">IF(Z42&gt;X42,0,IF(W42&lt;2000,0,(X42-Y42-Z42)))</f>
        <v>10204.56232896791</v>
      </c>
      <c r="AB42" s="42" t="str">
        <f t="shared" si="2"/>
        <v>Y</v>
      </c>
      <c r="AC42" s="55">
        <f t="shared" si="3"/>
        <v>9000</v>
      </c>
      <c r="AD42" s="57">
        <f t="shared" si="14"/>
        <v>9000</v>
      </c>
      <c r="AE42" s="58">
        <f t="shared" si="4"/>
        <v>3.2890207763226367</v>
      </c>
      <c r="AF42" s="59">
        <f t="shared" si="4"/>
        <v>3.6674999999999995</v>
      </c>
      <c r="AG42" s="55">
        <f t="shared" si="5"/>
        <v>0.37000000000000022</v>
      </c>
      <c r="AH42" s="55">
        <f t="shared" si="6"/>
        <v>0</v>
      </c>
      <c r="AI42" s="55">
        <f t="shared" si="7"/>
        <v>2</v>
      </c>
      <c r="AJ42" s="35" t="s">
        <v>52</v>
      </c>
      <c r="AK42" s="44" t="str">
        <f t="shared" si="15"/>
        <v>Y</v>
      </c>
      <c r="AL42" s="39">
        <f t="shared" si="16"/>
        <v>0</v>
      </c>
      <c r="AN42" s="28">
        <v>18</v>
      </c>
      <c r="AO42" s="60">
        <v>0.90943936158309113</v>
      </c>
      <c r="AQ42" s="28">
        <v>0</v>
      </c>
      <c r="AR42" s="39">
        <v>1</v>
      </c>
      <c r="AS42" s="39">
        <v>1</v>
      </c>
      <c r="BC42" s="89"/>
      <c r="BD42" s="89"/>
      <c r="BE42" s="35" t="s">
        <v>64</v>
      </c>
      <c r="BF42" s="39" t="s">
        <v>73</v>
      </c>
      <c r="BG42" s="39">
        <f t="shared" ref="BG42:BT42" si="22">BG41/$BU$41</f>
        <v>0.15542743849946522</v>
      </c>
      <c r="BH42" s="39">
        <f t="shared" si="22"/>
        <v>0.15172305846137796</v>
      </c>
      <c r="BI42" s="39">
        <f t="shared" si="22"/>
        <v>0.14801867842329064</v>
      </c>
      <c r="BJ42" s="39">
        <f t="shared" si="22"/>
        <v>0.13287072061496188</v>
      </c>
      <c r="BK42" s="39">
        <f t="shared" si="22"/>
        <v>0.1177227628066331</v>
      </c>
      <c r="BL42" s="39">
        <f t="shared" si="22"/>
        <v>9.5818224506300065E-2</v>
      </c>
      <c r="BM42" s="39">
        <f t="shared" si="22"/>
        <v>7.3913686205967014E-2</v>
      </c>
      <c r="BN42" s="39">
        <f t="shared" si="22"/>
        <v>5.4200471308446171E-2</v>
      </c>
      <c r="BO42" s="39">
        <f t="shared" si="22"/>
        <v>3.4487256410925322E-2</v>
      </c>
      <c r="BP42" s="39">
        <f t="shared" si="22"/>
        <v>2.1608883555509183E-2</v>
      </c>
      <c r="BQ42" s="39">
        <f t="shared" si="22"/>
        <v>8.7305107000930447E-3</v>
      </c>
      <c r="BR42" s="39">
        <f t="shared" si="22"/>
        <v>4.7304759171818891E-3</v>
      </c>
      <c r="BS42" s="39">
        <f t="shared" si="22"/>
        <v>7.3044113427073285E-4</v>
      </c>
      <c r="BT42" s="39">
        <f t="shared" si="22"/>
        <v>1.7391455577874592E-5</v>
      </c>
      <c r="BU42" s="64">
        <f>SUM(BG42:BT42)</f>
        <v>1</v>
      </c>
    </row>
    <row r="43" spans="3:73" x14ac:dyDescent="0.25">
      <c r="C43" s="48" t="str">
        <f>IF($E$11="W","Initiation of egglaying by new queen this day","")</f>
        <v/>
      </c>
      <c r="D43" s="49" t="str">
        <f t="shared" si="1"/>
        <v>A</v>
      </c>
      <c r="E43" s="28">
        <f t="shared" si="9"/>
        <v>24</v>
      </c>
      <c r="F43" s="55">
        <f t="shared" si="17"/>
        <v>5997.9625543151988</v>
      </c>
      <c r="G43" s="61">
        <f t="shared" si="20"/>
        <v>2110.5489184167591</v>
      </c>
      <c r="H43" s="61">
        <f t="shared" ref="H43:H51" si="23">H42*IF($E$11="L",$E61,IF($E$11="C",$F61,$G61))</f>
        <v>2320.7142857142853</v>
      </c>
      <c r="I43" s="61">
        <f>I42*IF($E$11="L",$E60,IF($E$11="C",$F60,$G60))</f>
        <v>2442.8571428571427</v>
      </c>
      <c r="J43" s="61">
        <f>($Y$39/21)*2</f>
        <v>857.14285714285711</v>
      </c>
      <c r="K43" s="61">
        <f>$AD40*0.9</f>
        <v>0</v>
      </c>
      <c r="L43" s="61"/>
      <c r="M43" s="61"/>
      <c r="N43" s="68"/>
      <c r="O43" s="61"/>
      <c r="P43" s="61"/>
      <c r="Q43" s="61"/>
      <c r="R43" s="61"/>
      <c r="S43" s="61"/>
      <c r="T43" s="43">
        <f t="shared" si="10"/>
        <v>5997.9625543151988</v>
      </c>
      <c r="U43" s="43">
        <f t="shared" si="18"/>
        <v>7731.2632041310444</v>
      </c>
      <c r="V43" s="43">
        <f t="shared" si="11"/>
        <v>0</v>
      </c>
      <c r="W43" s="54">
        <f>SUM(T43:V43)</f>
        <v>13729.225758446242</v>
      </c>
      <c r="X43" s="55">
        <f t="shared" si="12"/>
        <v>20593.838637669363</v>
      </c>
      <c r="Y43" s="56"/>
      <c r="Z43" s="64">
        <f t="shared" si="13"/>
        <v>18000</v>
      </c>
      <c r="AA43" s="65">
        <f t="shared" si="21"/>
        <v>2593.8386376693634</v>
      </c>
      <c r="AB43" s="42" t="str">
        <f t="shared" si="2"/>
        <v>Y</v>
      </c>
      <c r="AC43" s="55">
        <f t="shared" si="3"/>
        <v>9000</v>
      </c>
      <c r="AD43" s="57">
        <f t="shared" si="14"/>
        <v>2593.8386376693634</v>
      </c>
      <c r="AE43" s="58">
        <f t="shared" si="4"/>
        <v>2.9989812771575992</v>
      </c>
      <c r="AF43" s="59">
        <f t="shared" si="4"/>
        <v>3.8656316020655224</v>
      </c>
      <c r="AG43" s="55">
        <f t="shared" si="5"/>
        <v>0</v>
      </c>
      <c r="AH43" s="55">
        <f t="shared" si="6"/>
        <v>0</v>
      </c>
      <c r="AI43" s="55">
        <f t="shared" si="7"/>
        <v>4</v>
      </c>
      <c r="AJ43" s="35" t="s">
        <v>53</v>
      </c>
      <c r="AK43" s="44" t="str">
        <f t="shared" si="15"/>
        <v>Y</v>
      </c>
      <c r="AL43" s="39">
        <f t="shared" si="16"/>
        <v>0</v>
      </c>
      <c r="AN43" s="28">
        <v>24</v>
      </c>
      <c r="AO43" s="60">
        <v>0.88599476439790581</v>
      </c>
      <c r="AQ43" s="28">
        <f t="shared" ref="AQ43:AQ54" si="24">AQ42+6</f>
        <v>6</v>
      </c>
      <c r="AR43" s="39">
        <v>0.97616649882510909</v>
      </c>
      <c r="AS43" s="39">
        <f t="shared" ref="AS43:AS56" si="25">AR43/AR42</f>
        <v>0.97616649882510909</v>
      </c>
      <c r="BB43" s="69"/>
      <c r="BC43" s="39"/>
      <c r="BD43" s="39">
        <v>1</v>
      </c>
      <c r="BE43" s="28">
        <v>0</v>
      </c>
      <c r="BF43" s="70">
        <f>F39</f>
        <v>9000</v>
      </c>
      <c r="BG43" s="71">
        <f t="shared" ref="BG43:BT43" si="26">BG42*$BF$43</f>
        <v>1398.846946495187</v>
      </c>
      <c r="BH43" s="71">
        <f t="shared" si="26"/>
        <v>1365.5075261524016</v>
      </c>
      <c r="BI43" s="71">
        <f t="shared" si="26"/>
        <v>1332.1681058096158</v>
      </c>
      <c r="BJ43" s="71">
        <f t="shared" si="26"/>
        <v>1195.836485534657</v>
      </c>
      <c r="BK43" s="71">
        <f t="shared" si="26"/>
        <v>1059.5048652596979</v>
      </c>
      <c r="BL43" s="71">
        <f t="shared" si="26"/>
        <v>862.36402055670055</v>
      </c>
      <c r="BM43" s="71">
        <f t="shared" si="26"/>
        <v>665.22317585370308</v>
      </c>
      <c r="BN43" s="71">
        <f t="shared" si="26"/>
        <v>487.80424177601554</v>
      </c>
      <c r="BO43" s="71">
        <f t="shared" si="26"/>
        <v>310.38530769832789</v>
      </c>
      <c r="BP43" s="71">
        <f t="shared" si="26"/>
        <v>194.47995199958265</v>
      </c>
      <c r="BQ43" s="71">
        <f t="shared" si="26"/>
        <v>78.574596300837399</v>
      </c>
      <c r="BR43" s="71">
        <f t="shared" si="26"/>
        <v>42.574283254637002</v>
      </c>
      <c r="BS43" s="71">
        <f t="shared" si="26"/>
        <v>6.5739702084365952</v>
      </c>
      <c r="BT43" s="71">
        <f t="shared" si="26"/>
        <v>0.15652310020087132</v>
      </c>
      <c r="BU43" s="50">
        <f>SUM(BG43:BT43)</f>
        <v>9000.0000000000018</v>
      </c>
    </row>
    <row r="44" spans="3:73" x14ac:dyDescent="0.25">
      <c r="C44" s="48"/>
      <c r="D44" s="49" t="str">
        <f t="shared" si="1"/>
        <v>A</v>
      </c>
      <c r="E44" s="28">
        <f t="shared" si="9"/>
        <v>30</v>
      </c>
      <c r="F44" s="55">
        <f t="shared" si="17"/>
        <v>5337.8625709173375</v>
      </c>
      <c r="G44" s="61">
        <f t="shared" si="20"/>
        <v>1869.9352917229114</v>
      </c>
      <c r="H44" s="61">
        <f t="shared" si="23"/>
        <v>2110.5489184167591</v>
      </c>
      <c r="I44" s="61">
        <f t="shared" ref="I44:I51" si="27">I43*IF($E$11="L",$E61,IF($E$11="C",$F61,$G61))</f>
        <v>2320.7142857142853</v>
      </c>
      <c r="J44" s="61">
        <f>J43*IF($E$11="L",$E60,IF($E$11="C",$F60,$G60))</f>
        <v>814.28571428571422</v>
      </c>
      <c r="K44" s="61">
        <f>K43*$E60</f>
        <v>0</v>
      </c>
      <c r="L44" s="61">
        <f>$AD41*0.9</f>
        <v>8100</v>
      </c>
      <c r="M44" s="61"/>
      <c r="N44" s="68"/>
      <c r="O44" s="61"/>
      <c r="P44" s="61"/>
      <c r="Q44" s="61"/>
      <c r="R44" s="61"/>
      <c r="S44" s="61"/>
      <c r="T44" s="43">
        <f t="shared" si="10"/>
        <v>5337.8625709173375</v>
      </c>
      <c r="U44" s="43">
        <f t="shared" si="18"/>
        <v>7115.4842101396698</v>
      </c>
      <c r="V44" s="43">
        <f t="shared" si="11"/>
        <v>8100</v>
      </c>
      <c r="W44" s="54">
        <f t="shared" ref="W44:W51" si="28">SUM(T44:V44)</f>
        <v>20553.346781057007</v>
      </c>
      <c r="X44" s="55">
        <f t="shared" si="12"/>
        <v>30830.020171585511</v>
      </c>
      <c r="Y44" s="56"/>
      <c r="Z44" s="64">
        <f t="shared" si="13"/>
        <v>20593.838637669363</v>
      </c>
      <c r="AA44" s="65">
        <f t="shared" si="21"/>
        <v>10236.181533916148</v>
      </c>
      <c r="AB44" s="42" t="str">
        <f t="shared" si="2"/>
        <v>Y</v>
      </c>
      <c r="AC44" s="55">
        <f t="shared" si="3"/>
        <v>9000</v>
      </c>
      <c r="AD44" s="57">
        <f t="shared" si="14"/>
        <v>9000</v>
      </c>
      <c r="AE44" s="58">
        <f t="shared" si="4"/>
        <v>2.6689312854586689</v>
      </c>
      <c r="AF44" s="59">
        <f t="shared" si="4"/>
        <v>3.5577421050698348</v>
      </c>
      <c r="AG44" s="55">
        <f t="shared" si="5"/>
        <v>0</v>
      </c>
      <c r="AH44" s="55">
        <f t="shared" si="6"/>
        <v>4.05</v>
      </c>
      <c r="AI44" s="55">
        <f t="shared" si="7"/>
        <v>4.5764085861487471</v>
      </c>
      <c r="AJ44" s="35" t="s">
        <v>54</v>
      </c>
      <c r="AK44" s="44" t="str">
        <f t="shared" si="15"/>
        <v>Y</v>
      </c>
      <c r="AL44" s="39">
        <f t="shared" si="16"/>
        <v>0</v>
      </c>
      <c r="AN44" s="28">
        <v>30</v>
      </c>
      <c r="AO44" s="60">
        <v>0.81393115674397987</v>
      </c>
      <c r="AQ44" s="28">
        <f t="shared" si="24"/>
        <v>12</v>
      </c>
      <c r="AR44" s="39">
        <v>0.94</v>
      </c>
      <c r="AS44" s="39">
        <f t="shared" si="25"/>
        <v>0.96295048143053641</v>
      </c>
      <c r="BB44" s="69"/>
      <c r="BC44" s="39"/>
      <c r="BD44" s="39">
        <v>0.97616649882510909</v>
      </c>
      <c r="BE44" s="28">
        <f t="shared" ref="BE44:BE55" si="29">BE43+6</f>
        <v>6</v>
      </c>
      <c r="BF44" s="39"/>
      <c r="BG44" s="61">
        <f t="shared" ref="BG44:BG56" si="30">$BG$43*BD44</f>
        <v>1365.5075261524014</v>
      </c>
      <c r="BH44" s="61">
        <f t="shared" ref="BH44:BH56" si="31">$BH$43*BD45</f>
        <v>1314.9161297054759</v>
      </c>
      <c r="BI44" s="61">
        <f t="shared" ref="BI44:BI56" si="32">$BI$43*BD46</f>
        <v>1211.5261116688528</v>
      </c>
      <c r="BJ44" s="61">
        <f t="shared" ref="BJ44:BJ56" si="33">$BJ$43*BD47</f>
        <v>1059.5048652596981</v>
      </c>
      <c r="BK44" s="61">
        <f t="shared" ref="BK44:BK56" si="34">$BK$43*BD48</f>
        <v>862.36402055670044</v>
      </c>
      <c r="BL44" s="61">
        <f t="shared" ref="BL44:BL56" si="35">$BL$43*BD49</f>
        <v>665.2231758537032</v>
      </c>
      <c r="BM44" s="61">
        <f t="shared" ref="BM44:BM56" si="36">$BM$43*BD50</f>
        <v>487.80424177601549</v>
      </c>
      <c r="BN44" s="61">
        <f t="shared" ref="BN44:BN56" si="37">$BN$43*BD51</f>
        <v>310.38530769832784</v>
      </c>
      <c r="BO44" s="61">
        <f t="shared" ref="BO44:BO56" si="38">$BO$43*BD52</f>
        <v>167.86163357942246</v>
      </c>
      <c r="BP44" s="61">
        <f t="shared" ref="BP44:BP56" si="39">$BP$43*BD53</f>
        <v>91.034403699778537</v>
      </c>
      <c r="BQ44" s="61">
        <f t="shared" ref="BQ44:BQ56" si="40">$BQ$43*BD54</f>
        <v>27.976938929903739</v>
      </c>
      <c r="BR44" s="61">
        <f t="shared" ref="BR44:BR56" si="41">$BR$43*BD55</f>
        <v>10.004027619417892</v>
      </c>
      <c r="BS44" s="61">
        <f t="shared" ref="BS44:BS56" si="42">$BS$43*BD56</f>
        <v>1.1190775571961495</v>
      </c>
      <c r="BT44" s="61">
        <f t="shared" ref="BT44:BT56" si="43">$BT$43*BD57</f>
        <v>2.1892567444454419E-2</v>
      </c>
      <c r="BU44" s="50">
        <f t="shared" ref="BU44:BU56" si="44">SUM(BG44:BT44)</f>
        <v>7575.2493526243379</v>
      </c>
    </row>
    <row r="45" spans="3:73" x14ac:dyDescent="0.25">
      <c r="C45" s="48"/>
      <c r="D45" s="49" t="str">
        <f t="shared" si="1"/>
        <v>A</v>
      </c>
      <c r="E45" s="28">
        <f t="shared" si="9"/>
        <v>36</v>
      </c>
      <c r="F45" s="55">
        <f t="shared" si="17"/>
        <v>4660.5157875577788</v>
      </c>
      <c r="G45" s="61">
        <f t="shared" si="20"/>
        <v>1521.9985950284208</v>
      </c>
      <c r="H45" s="61">
        <f t="shared" si="23"/>
        <v>1869.9352917229114</v>
      </c>
      <c r="I45" s="61">
        <f t="shared" si="27"/>
        <v>2110.5489184167591</v>
      </c>
      <c r="J45" s="61">
        <f t="shared" ref="J45:J51" si="45">J44*IF($E$11="L",$E61,IF($E$11="C",$F61,$G61))</f>
        <v>773.57142857142844</v>
      </c>
      <c r="K45" s="61">
        <f>K44*$E61</f>
        <v>0</v>
      </c>
      <c r="L45" s="61">
        <f>L44*$E60</f>
        <v>7906.9486404833833</v>
      </c>
      <c r="M45" s="61">
        <f>$AD42*0.9</f>
        <v>8100</v>
      </c>
      <c r="N45" s="68"/>
      <c r="O45" s="61"/>
      <c r="P45" s="61"/>
      <c r="Q45" s="61"/>
      <c r="R45" s="61"/>
      <c r="S45" s="61"/>
      <c r="T45" s="43">
        <f t="shared" si="10"/>
        <v>4660.5157875577788</v>
      </c>
      <c r="U45" s="43">
        <f t="shared" si="18"/>
        <v>6276.05423373952</v>
      </c>
      <c r="V45" s="43">
        <f t="shared" si="11"/>
        <v>16006.948640483384</v>
      </c>
      <c r="W45" s="54">
        <f t="shared" si="28"/>
        <v>26943.518661780683</v>
      </c>
      <c r="X45" s="55">
        <f t="shared" si="12"/>
        <v>40415.277992671021</v>
      </c>
      <c r="Y45" s="56"/>
      <c r="Z45" s="64">
        <f t="shared" si="13"/>
        <v>20593.838637669363</v>
      </c>
      <c r="AA45" s="65">
        <f t="shared" si="21"/>
        <v>19821.439355001658</v>
      </c>
      <c r="AB45" s="42" t="str">
        <f t="shared" si="2"/>
        <v>Y</v>
      </c>
      <c r="AC45" s="55">
        <f t="shared" si="3"/>
        <v>9000</v>
      </c>
      <c r="AD45" s="57">
        <f t="shared" si="14"/>
        <v>9000</v>
      </c>
      <c r="AE45" s="58">
        <f t="shared" si="4"/>
        <v>2.3302578937788896</v>
      </c>
      <c r="AF45" s="59">
        <f t="shared" si="4"/>
        <v>3.1380271168697602</v>
      </c>
      <c r="AG45" s="55">
        <f t="shared" si="5"/>
        <v>0</v>
      </c>
      <c r="AH45" s="55">
        <f t="shared" si="6"/>
        <v>8.0034743202416916</v>
      </c>
      <c r="AI45" s="55">
        <f t="shared" si="7"/>
        <v>4.5764085861487471</v>
      </c>
      <c r="AJ45" s="35" t="s">
        <v>11</v>
      </c>
      <c r="AK45" s="44" t="str">
        <f t="shared" si="15"/>
        <v>Y</v>
      </c>
      <c r="AL45" s="39">
        <f t="shared" si="16"/>
        <v>0</v>
      </c>
      <c r="AN45" s="28">
        <v>36</v>
      </c>
      <c r="AO45" s="60">
        <v>0.77139486341773311</v>
      </c>
      <c r="AQ45" s="28">
        <f t="shared" si="24"/>
        <v>18</v>
      </c>
      <c r="AR45" s="39">
        <v>0.85487299988810561</v>
      </c>
      <c r="AS45" s="39">
        <f t="shared" si="25"/>
        <v>0.90943936158309113</v>
      </c>
      <c r="BB45" s="69"/>
      <c r="BC45" s="39"/>
      <c r="BD45" s="39">
        <v>0.96295048143053641</v>
      </c>
      <c r="BE45" s="28">
        <f t="shared" si="29"/>
        <v>12</v>
      </c>
      <c r="BF45" s="39"/>
      <c r="BG45" s="61">
        <f t="shared" si="30"/>
        <v>1347.0203405751761</v>
      </c>
      <c r="BH45" s="61">
        <f t="shared" si="31"/>
        <v>1241.8462928209462</v>
      </c>
      <c r="BI45" s="61">
        <f t="shared" si="32"/>
        <v>1180.2939670451949</v>
      </c>
      <c r="BJ45" s="61">
        <f t="shared" si="33"/>
        <v>973.32857394787891</v>
      </c>
      <c r="BK45" s="61">
        <f t="shared" si="34"/>
        <v>817.29661082742837</v>
      </c>
      <c r="BL45" s="61">
        <f t="shared" si="35"/>
        <v>632.36646354469588</v>
      </c>
      <c r="BM45" s="61">
        <f t="shared" si="36"/>
        <v>423.27532736014535</v>
      </c>
      <c r="BN45" s="61">
        <f t="shared" si="37"/>
        <v>263.81279931934949</v>
      </c>
      <c r="BO45" s="61">
        <f t="shared" si="38"/>
        <v>145.28871029107512</v>
      </c>
      <c r="BP45" s="61">
        <f t="shared" si="39"/>
        <v>69.245710399213948</v>
      </c>
      <c r="BQ45" s="61">
        <f t="shared" si="40"/>
        <v>18.463315679955077</v>
      </c>
      <c r="BR45" s="61">
        <f t="shared" si="41"/>
        <v>7.2473594180322074</v>
      </c>
      <c r="BS45" s="61">
        <f t="shared" si="42"/>
        <v>0.91948783266708567</v>
      </c>
      <c r="BT45" s="61">
        <f t="shared" si="43"/>
        <v>0</v>
      </c>
      <c r="BU45" s="50">
        <f t="shared" si="44"/>
        <v>7120.4049590617587</v>
      </c>
    </row>
    <row r="46" spans="3:73" x14ac:dyDescent="0.25">
      <c r="C46" s="48"/>
      <c r="D46" s="49" t="str">
        <f t="shared" si="1"/>
        <v>A</v>
      </c>
      <c r="E46" s="28">
        <f t="shared" si="9"/>
        <v>42</v>
      </c>
      <c r="F46" s="55">
        <f t="shared" si="17"/>
        <v>3936.1936498786795</v>
      </c>
      <c r="G46" s="61">
        <f t="shared" si="20"/>
        <v>1174.0618983339305</v>
      </c>
      <c r="H46" s="61">
        <f t="shared" si="23"/>
        <v>1521.9985950284208</v>
      </c>
      <c r="I46" s="61">
        <f t="shared" si="27"/>
        <v>1869.9352917229114</v>
      </c>
      <c r="J46" s="61">
        <f t="shared" si="45"/>
        <v>703.51630613891962</v>
      </c>
      <c r="K46" s="61">
        <f t="shared" ref="K46:K51" si="46">K45*$E62</f>
        <v>0</v>
      </c>
      <c r="L46" s="61">
        <f t="shared" ref="L46:L51" si="47">L45*$E61</f>
        <v>7613.9999999999991</v>
      </c>
      <c r="M46" s="61">
        <f t="shared" ref="M46:M51" si="48">M45*$E60</f>
        <v>7906.9486404833833</v>
      </c>
      <c r="N46" s="61">
        <f>$AD43*0.9</f>
        <v>2334.454773902427</v>
      </c>
      <c r="O46" s="61"/>
      <c r="P46" s="61"/>
      <c r="Q46" s="61"/>
      <c r="R46" s="61"/>
      <c r="S46" s="61"/>
      <c r="T46" s="43">
        <f t="shared" si="10"/>
        <v>3936.1936498786795</v>
      </c>
      <c r="U46" s="43">
        <f t="shared" si="18"/>
        <v>5269.5120912241819</v>
      </c>
      <c r="V46" s="43">
        <f t="shared" si="11"/>
        <v>17855.403414385808</v>
      </c>
      <c r="W46" s="54">
        <f t="shared" si="28"/>
        <v>27061.10915548867</v>
      </c>
      <c r="X46" s="55">
        <f t="shared" si="12"/>
        <v>40591.663733233006</v>
      </c>
      <c r="Y46" s="56"/>
      <c r="Z46" s="64">
        <f t="shared" si="13"/>
        <v>20593.838637669363</v>
      </c>
      <c r="AA46" s="65">
        <f t="shared" si="21"/>
        <v>19997.825095563643</v>
      </c>
      <c r="AB46" s="42" t="str">
        <f t="shared" si="2"/>
        <v>Y</v>
      </c>
      <c r="AC46" s="55">
        <f t="shared" si="3"/>
        <v>9000</v>
      </c>
      <c r="AD46" s="57">
        <f t="shared" si="14"/>
        <v>9000</v>
      </c>
      <c r="AE46" s="58">
        <f t="shared" si="4"/>
        <v>1.9680968249393398</v>
      </c>
      <c r="AF46" s="59">
        <f t="shared" si="4"/>
        <v>2.6347560456120909</v>
      </c>
      <c r="AG46" s="55">
        <f t="shared" si="5"/>
        <v>0</v>
      </c>
      <c r="AH46" s="55">
        <f t="shared" si="6"/>
        <v>8.9277017071929041</v>
      </c>
      <c r="AI46" s="55">
        <f t="shared" si="7"/>
        <v>4.5764085861487471</v>
      </c>
      <c r="AJ46" s="35" t="s">
        <v>55</v>
      </c>
      <c r="AK46" s="44" t="str">
        <f t="shared" si="15"/>
        <v>Y</v>
      </c>
      <c r="AL46" s="39">
        <f t="shared" si="16"/>
        <v>0</v>
      </c>
      <c r="AN46" s="28">
        <v>42</v>
      </c>
      <c r="AO46" s="60">
        <v>0.73329411764705887</v>
      </c>
      <c r="AQ46" s="28">
        <f t="shared" si="24"/>
        <v>24</v>
      </c>
      <c r="AR46" s="39">
        <v>0.75741300212599305</v>
      </c>
      <c r="AS46" s="39">
        <f t="shared" si="25"/>
        <v>0.88599476439790581</v>
      </c>
      <c r="BB46" s="69"/>
      <c r="BC46" s="39"/>
      <c r="BD46" s="39">
        <v>0.90943936158309113</v>
      </c>
      <c r="BE46" s="28">
        <f t="shared" si="29"/>
        <v>18</v>
      </c>
      <c r="BF46" s="39"/>
      <c r="BG46" s="61">
        <f t="shared" si="30"/>
        <v>1272.1664739730393</v>
      </c>
      <c r="BH46" s="61">
        <f t="shared" si="31"/>
        <v>1209.8325189169643</v>
      </c>
      <c r="BI46" s="61">
        <f t="shared" si="32"/>
        <v>1084.293127339057</v>
      </c>
      <c r="BJ46" s="61">
        <f t="shared" si="33"/>
        <v>922.46212242894865</v>
      </c>
      <c r="BK46" s="61">
        <f t="shared" si="34"/>
        <v>776.92868531337615</v>
      </c>
      <c r="BL46" s="61">
        <f t="shared" si="35"/>
        <v>548.7142155507579</v>
      </c>
      <c r="BM46" s="61">
        <f t="shared" si="36"/>
        <v>359.76396505927647</v>
      </c>
      <c r="BN46" s="61">
        <f t="shared" si="37"/>
        <v>228.33699728801594</v>
      </c>
      <c r="BO46" s="61">
        <f t="shared" si="38"/>
        <v>110.51448186852416</v>
      </c>
      <c r="BP46" s="61">
        <f t="shared" si="39"/>
        <v>45.698545283554161</v>
      </c>
      <c r="BQ46" s="61">
        <f t="shared" si="40"/>
        <v>13.375641278868263</v>
      </c>
      <c r="BR46" s="61">
        <f t="shared" si="41"/>
        <v>5.9547783448916025</v>
      </c>
      <c r="BS46" s="61">
        <f t="shared" si="42"/>
        <v>0</v>
      </c>
      <c r="BT46" s="61">
        <f t="shared" si="43"/>
        <v>0</v>
      </c>
      <c r="BU46" s="50">
        <f t="shared" si="44"/>
        <v>6578.0415526452734</v>
      </c>
    </row>
    <row r="47" spans="3:73" x14ac:dyDescent="0.25">
      <c r="C47" s="48"/>
      <c r="D47" s="49" t="str">
        <f t="shared" si="1"/>
        <v>A</v>
      </c>
      <c r="E47" s="28">
        <f t="shared" si="9"/>
        <v>48</v>
      </c>
      <c r="F47" s="55">
        <f t="shared" si="17"/>
        <v>3166.7268534569389</v>
      </c>
      <c r="G47" s="61">
        <f t="shared" si="20"/>
        <v>860.93268380181053</v>
      </c>
      <c r="H47" s="61">
        <f t="shared" si="23"/>
        <v>1174.0618983339305</v>
      </c>
      <c r="I47" s="61">
        <f t="shared" si="27"/>
        <v>1521.9985950284208</v>
      </c>
      <c r="J47" s="61">
        <f t="shared" si="45"/>
        <v>623.3117639076371</v>
      </c>
      <c r="K47" s="61">
        <f t="shared" si="46"/>
        <v>0</v>
      </c>
      <c r="L47" s="61">
        <f t="shared" si="47"/>
        <v>6924.471299093655</v>
      </c>
      <c r="M47" s="61">
        <f t="shared" si="48"/>
        <v>7613.9999999999991</v>
      </c>
      <c r="N47" s="61">
        <f>N46*$E60</f>
        <v>2278.8165433058939</v>
      </c>
      <c r="O47" s="61">
        <f>$AD44*0.9</f>
        <v>8100</v>
      </c>
      <c r="P47" s="61"/>
      <c r="Q47" s="61"/>
      <c r="R47" s="61"/>
      <c r="S47" s="61"/>
      <c r="T47" s="43">
        <f t="shared" si="10"/>
        <v>3166.7268534569389</v>
      </c>
      <c r="U47" s="43">
        <f t="shared" si="18"/>
        <v>4180.3049410717986</v>
      </c>
      <c r="V47" s="43">
        <f t="shared" si="11"/>
        <v>24917.287842399546</v>
      </c>
      <c r="W47" s="54">
        <f t="shared" si="28"/>
        <v>32264.319636928281</v>
      </c>
      <c r="X47" s="55">
        <f t="shared" si="12"/>
        <v>48396.479455392422</v>
      </c>
      <c r="Y47" s="56"/>
      <c r="Z47" s="64">
        <f t="shared" si="13"/>
        <v>27000</v>
      </c>
      <c r="AA47" s="65">
        <f t="shared" si="21"/>
        <v>21396.479455392422</v>
      </c>
      <c r="AB47" s="42" t="str">
        <f t="shared" si="2"/>
        <v>Y</v>
      </c>
      <c r="AC47" s="55">
        <f t="shared" si="3"/>
        <v>9000</v>
      </c>
      <c r="AD47" s="57">
        <f t="shared" si="14"/>
        <v>9000</v>
      </c>
      <c r="AE47" s="58">
        <f t="shared" si="4"/>
        <v>1.5833634267284695</v>
      </c>
      <c r="AF47" s="59">
        <f t="shared" si="4"/>
        <v>2.0901524705358994</v>
      </c>
      <c r="AG47" s="55">
        <f t="shared" si="5"/>
        <v>0</v>
      </c>
      <c r="AH47" s="55">
        <f t="shared" si="6"/>
        <v>12.458643921199773</v>
      </c>
      <c r="AI47" s="55">
        <f t="shared" si="7"/>
        <v>6</v>
      </c>
      <c r="AJ47" s="35" t="s">
        <v>56</v>
      </c>
      <c r="AK47" s="44" t="str">
        <f t="shared" si="15"/>
        <v>Y</v>
      </c>
      <c r="AL47" s="39">
        <f t="shared" si="16"/>
        <v>0</v>
      </c>
      <c r="AN47" s="28">
        <v>48</v>
      </c>
      <c r="AO47" s="60">
        <v>0.63629071073319421</v>
      </c>
      <c r="AQ47" s="28">
        <f t="shared" si="24"/>
        <v>30</v>
      </c>
      <c r="AR47" s="39">
        <v>0.61648204095334003</v>
      </c>
      <c r="AS47" s="39">
        <f t="shared" si="25"/>
        <v>0.81393115674397987</v>
      </c>
      <c r="BB47" s="69"/>
      <c r="BC47" s="39"/>
      <c r="BD47" s="39">
        <v>0.88599476439790581</v>
      </c>
      <c r="BE47" s="28">
        <f t="shared" si="29"/>
        <v>24</v>
      </c>
      <c r="BF47" s="39"/>
      <c r="BG47" s="61">
        <f t="shared" si="30"/>
        <v>1239.3710707887333</v>
      </c>
      <c r="BH47" s="61">
        <f t="shared" si="31"/>
        <v>1111.4291203038347</v>
      </c>
      <c r="BI47" s="61">
        <f t="shared" si="32"/>
        <v>1027.6276340304687</v>
      </c>
      <c r="BJ47" s="61">
        <f t="shared" si="33"/>
        <v>876.89986051029621</v>
      </c>
      <c r="BK47" s="61">
        <f t="shared" si="34"/>
        <v>674.15310374137039</v>
      </c>
      <c r="BL47" s="61">
        <f t="shared" si="35"/>
        <v>466.38107423390204</v>
      </c>
      <c r="BM47" s="61">
        <f t="shared" si="36"/>
        <v>311.3852842849567</v>
      </c>
      <c r="BN47" s="61">
        <f t="shared" si="37"/>
        <v>173.68551827698212</v>
      </c>
      <c r="BO47" s="61">
        <f t="shared" si="38"/>
        <v>72.933774887153248</v>
      </c>
      <c r="BP47" s="61">
        <f t="shared" si="39"/>
        <v>33.106044400386097</v>
      </c>
      <c r="BQ47" s="61">
        <f t="shared" si="40"/>
        <v>10.990068857116119</v>
      </c>
      <c r="BR47" s="61">
        <f t="shared" si="41"/>
        <v>0</v>
      </c>
      <c r="BS47" s="61">
        <f t="shared" si="42"/>
        <v>0</v>
      </c>
      <c r="BT47" s="61">
        <f t="shared" si="43"/>
        <v>0</v>
      </c>
      <c r="BU47" s="50">
        <f t="shared" si="44"/>
        <v>5997.9625543151988</v>
      </c>
    </row>
    <row r="48" spans="3:73" x14ac:dyDescent="0.25">
      <c r="C48" s="48"/>
      <c r="D48" s="49" t="str">
        <f t="shared" si="1"/>
        <v>A</v>
      </c>
      <c r="E48" s="28">
        <f t="shared" si="9"/>
        <v>54</v>
      </c>
      <c r="F48" s="55">
        <f t="shared" si="17"/>
        <v>2451.9992669894145</v>
      </c>
      <c r="G48" s="61">
        <f t="shared" si="20"/>
        <v>547.80346926969037</v>
      </c>
      <c r="H48" s="61">
        <f t="shared" si="23"/>
        <v>860.93268380181053</v>
      </c>
      <c r="I48" s="61">
        <f t="shared" si="27"/>
        <v>1174.0618983339305</v>
      </c>
      <c r="J48" s="61">
        <f t="shared" si="45"/>
        <v>507.33286500947355</v>
      </c>
      <c r="K48" s="61">
        <f t="shared" si="46"/>
        <v>0</v>
      </c>
      <c r="L48" s="61">
        <f t="shared" si="47"/>
        <v>6135.0453172205434</v>
      </c>
      <c r="M48" s="61">
        <f t="shared" si="48"/>
        <v>6924.471299093655</v>
      </c>
      <c r="N48" s="61">
        <f>N47*$E61</f>
        <v>2194.3874874682815</v>
      </c>
      <c r="O48" s="61">
        <f>O47*$E60</f>
        <v>7906.9486404833833</v>
      </c>
      <c r="P48" s="61">
        <f>$AD45*0.9</f>
        <v>8100</v>
      </c>
      <c r="Q48" s="61"/>
      <c r="R48" s="61"/>
      <c r="S48" s="61"/>
      <c r="T48" s="43">
        <f t="shared" si="10"/>
        <v>2451.9992669894145</v>
      </c>
      <c r="U48" s="43">
        <f t="shared" si="18"/>
        <v>3090.1309164149052</v>
      </c>
      <c r="V48" s="43">
        <f t="shared" si="11"/>
        <v>31260.852744265863</v>
      </c>
      <c r="W48" s="54">
        <f t="shared" si="28"/>
        <v>36802.982927670186</v>
      </c>
      <c r="X48" s="55">
        <f t="shared" si="12"/>
        <v>55204.474391505282</v>
      </c>
      <c r="Y48" s="56"/>
      <c r="Z48" s="64">
        <f t="shared" si="13"/>
        <v>27000</v>
      </c>
      <c r="AA48" s="65">
        <f t="shared" si="21"/>
        <v>28204.474391505282</v>
      </c>
      <c r="AB48" s="42" t="str">
        <f t="shared" si="2"/>
        <v>Y</v>
      </c>
      <c r="AC48" s="55">
        <f t="shared" si="3"/>
        <v>9000</v>
      </c>
      <c r="AD48" s="57">
        <f t="shared" si="14"/>
        <v>9000</v>
      </c>
      <c r="AE48" s="58">
        <f t="shared" si="4"/>
        <v>1.2259996334947072</v>
      </c>
      <c r="AF48" s="59">
        <f t="shared" si="4"/>
        <v>1.5450654582074526</v>
      </c>
      <c r="AG48" s="55">
        <f t="shared" si="5"/>
        <v>0</v>
      </c>
      <c r="AH48" s="55">
        <f t="shared" si="6"/>
        <v>15.630426372132932</v>
      </c>
      <c r="AI48" s="55">
        <f t="shared" si="7"/>
        <v>6</v>
      </c>
      <c r="AJ48" s="35" t="s">
        <v>57</v>
      </c>
      <c r="AK48" s="44" t="str">
        <f t="shared" si="15"/>
        <v>Y</v>
      </c>
      <c r="AL48" s="39">
        <f t="shared" si="16"/>
        <v>0</v>
      </c>
      <c r="AN48" s="28">
        <v>54</v>
      </c>
      <c r="AO48" s="60">
        <v>0.54081694402420566</v>
      </c>
      <c r="AQ48" s="28">
        <f t="shared" si="24"/>
        <v>36</v>
      </c>
      <c r="AR48" s="39">
        <v>0.47555107978068706</v>
      </c>
      <c r="AS48" s="39">
        <f t="shared" si="25"/>
        <v>0.77139486341773311</v>
      </c>
      <c r="BB48" s="69"/>
      <c r="BC48" s="39"/>
      <c r="BD48" s="39">
        <v>0.81393115674397987</v>
      </c>
      <c r="BE48" s="28">
        <f t="shared" si="29"/>
        <v>30</v>
      </c>
      <c r="BF48" s="39"/>
      <c r="BG48" s="61">
        <f t="shared" si="30"/>
        <v>1138.5651132686116</v>
      </c>
      <c r="BH48" s="61">
        <f t="shared" si="31"/>
        <v>1053.3454916322185</v>
      </c>
      <c r="BI48" s="61">
        <f t="shared" si="32"/>
        <v>976.87103570721592</v>
      </c>
      <c r="BJ48" s="61">
        <f t="shared" si="33"/>
        <v>760.89964730153201</v>
      </c>
      <c r="BK48" s="61">
        <f t="shared" si="34"/>
        <v>572.99818340852755</v>
      </c>
      <c r="BL48" s="61">
        <f t="shared" si="35"/>
        <v>403.66522912187509</v>
      </c>
      <c r="BM48" s="61">
        <f t="shared" si="36"/>
        <v>236.85655468544002</v>
      </c>
      <c r="BN48" s="61">
        <f t="shared" si="37"/>
        <v>114.6233532202789</v>
      </c>
      <c r="BO48" s="61">
        <f t="shared" si="38"/>
        <v>52.836447521903928</v>
      </c>
      <c r="BP48" s="61">
        <f t="shared" si="39"/>
        <v>27.201515049734624</v>
      </c>
      <c r="BQ48" s="61">
        <f t="shared" si="40"/>
        <v>0</v>
      </c>
      <c r="BR48" s="61">
        <f t="shared" si="41"/>
        <v>0</v>
      </c>
      <c r="BS48" s="61">
        <f t="shared" si="42"/>
        <v>0</v>
      </c>
      <c r="BT48" s="61">
        <f t="shared" si="43"/>
        <v>0</v>
      </c>
      <c r="BU48" s="50">
        <f t="shared" si="44"/>
        <v>5337.8625709173375</v>
      </c>
    </row>
    <row r="49" spans="2:73" x14ac:dyDescent="0.25">
      <c r="C49" s="48"/>
      <c r="D49" s="49" t="str">
        <f t="shared" si="1"/>
        <v>A</v>
      </c>
      <c r="E49" s="28">
        <f t="shared" si="9"/>
        <v>60</v>
      </c>
      <c r="F49" s="55">
        <f t="shared" si="17"/>
        <v>1805.7719089630552</v>
      </c>
      <c r="G49" s="61">
        <f t="shared" si="20"/>
        <v>296.26139817629178</v>
      </c>
      <c r="H49" s="61">
        <f t="shared" si="23"/>
        <v>547.80346926969037</v>
      </c>
      <c r="I49" s="61">
        <f t="shared" si="27"/>
        <v>860.93268380181053</v>
      </c>
      <c r="J49" s="61">
        <f t="shared" si="45"/>
        <v>391.35396611131006</v>
      </c>
      <c r="K49" s="61">
        <f t="shared" si="46"/>
        <v>0</v>
      </c>
      <c r="L49" s="61">
        <f t="shared" si="47"/>
        <v>4993.5045317220538</v>
      </c>
      <c r="M49" s="61">
        <f t="shared" si="48"/>
        <v>6135.0453172205434</v>
      </c>
      <c r="N49" s="61">
        <f>N48*$E62</f>
        <v>1995.6623556690772</v>
      </c>
      <c r="O49" s="61">
        <f>O48*$E61</f>
        <v>7613.9999999999991</v>
      </c>
      <c r="P49" s="61">
        <f>P48*$E60</f>
        <v>7906.9486404833833</v>
      </c>
      <c r="Q49" s="61">
        <f>$AD46*0.9</f>
        <v>8100</v>
      </c>
      <c r="R49" s="61"/>
      <c r="S49" s="61"/>
      <c r="T49" s="43">
        <f t="shared" si="10"/>
        <v>1805.7719089630552</v>
      </c>
      <c r="U49" s="43">
        <f t="shared" si="18"/>
        <v>2096.3515173591027</v>
      </c>
      <c r="V49" s="43">
        <f t="shared" si="11"/>
        <v>36745.160845095059</v>
      </c>
      <c r="W49" s="54">
        <f t="shared" si="28"/>
        <v>40647.284271417215</v>
      </c>
      <c r="X49" s="55">
        <f t="shared" si="12"/>
        <v>60970.926407125822</v>
      </c>
      <c r="Y49" s="56"/>
      <c r="Z49" s="64">
        <f t="shared" si="13"/>
        <v>27000</v>
      </c>
      <c r="AA49" s="65">
        <f t="shared" si="21"/>
        <v>33970.926407125822</v>
      </c>
      <c r="AB49" s="42" t="str">
        <f t="shared" si="2"/>
        <v>Y</v>
      </c>
      <c r="AC49" s="55">
        <f t="shared" si="3"/>
        <v>9000</v>
      </c>
      <c r="AD49" s="57">
        <f t="shared" si="14"/>
        <v>9000</v>
      </c>
      <c r="AE49" s="58">
        <f t="shared" si="4"/>
        <v>0.90288595448152764</v>
      </c>
      <c r="AF49" s="59">
        <f t="shared" si="4"/>
        <v>1.0481757586795513</v>
      </c>
      <c r="AG49" s="55">
        <f t="shared" si="5"/>
        <v>0</v>
      </c>
      <c r="AH49" s="55">
        <f t="shared" si="6"/>
        <v>18.372580422547529</v>
      </c>
      <c r="AI49" s="55">
        <f t="shared" si="7"/>
        <v>6</v>
      </c>
      <c r="AJ49" s="35" t="s">
        <v>58</v>
      </c>
      <c r="AK49" s="44" t="str">
        <f t="shared" si="15"/>
        <v>Y</v>
      </c>
      <c r="AL49" s="39">
        <f t="shared" si="16"/>
        <v>20</v>
      </c>
      <c r="AN49" s="28">
        <v>60</v>
      </c>
      <c r="AO49" s="60">
        <v>0.46809145499981353</v>
      </c>
      <c r="AQ49" s="28">
        <f t="shared" si="24"/>
        <v>42</v>
      </c>
      <c r="AR49" s="39">
        <v>0.348718809443885</v>
      </c>
      <c r="AS49" s="39">
        <f t="shared" si="25"/>
        <v>0.73329411764705887</v>
      </c>
      <c r="BB49" s="69"/>
      <c r="BC49" s="39"/>
      <c r="BD49" s="39">
        <v>0.77139486341773311</v>
      </c>
      <c r="BE49" s="28">
        <f t="shared" si="29"/>
        <v>36</v>
      </c>
      <c r="BF49" s="39"/>
      <c r="BG49" s="61">
        <f t="shared" si="30"/>
        <v>1079.0633492339678</v>
      </c>
      <c r="BH49" s="61">
        <f t="shared" si="31"/>
        <v>1001.3186365303435</v>
      </c>
      <c r="BI49" s="61">
        <f t="shared" si="32"/>
        <v>847.64619086169353</v>
      </c>
      <c r="BJ49" s="61">
        <f t="shared" si="33"/>
        <v>646.72863365949934</v>
      </c>
      <c r="BK49" s="61">
        <f t="shared" si="34"/>
        <v>495.94517395879336</v>
      </c>
      <c r="BL49" s="61">
        <f t="shared" si="35"/>
        <v>307.04969130339572</v>
      </c>
      <c r="BM49" s="61">
        <f t="shared" si="36"/>
        <v>156.31293155340455</v>
      </c>
      <c r="BN49" s="61">
        <f t="shared" si="37"/>
        <v>83.038219214328592</v>
      </c>
      <c r="BO49" s="61">
        <f t="shared" si="38"/>
        <v>43.412961242353127</v>
      </c>
      <c r="BP49" s="61">
        <f t="shared" si="39"/>
        <v>0</v>
      </c>
      <c r="BQ49" s="61">
        <f t="shared" si="40"/>
        <v>0</v>
      </c>
      <c r="BR49" s="61">
        <f t="shared" si="41"/>
        <v>0</v>
      </c>
      <c r="BS49" s="61">
        <f t="shared" si="42"/>
        <v>0</v>
      </c>
      <c r="BT49" s="61">
        <f t="shared" si="43"/>
        <v>0</v>
      </c>
      <c r="BU49" s="50">
        <f t="shared" si="44"/>
        <v>4660.5157875577788</v>
      </c>
    </row>
    <row r="50" spans="2:73" x14ac:dyDescent="0.25">
      <c r="C50" s="48"/>
      <c r="D50" s="49" t="str">
        <f t="shared" si="1"/>
        <v>A</v>
      </c>
      <c r="E50" s="28">
        <f t="shared" si="9"/>
        <v>66</v>
      </c>
      <c r="F50" s="55">
        <f t="shared" si="17"/>
        <v>1212.9642992057625</v>
      </c>
      <c r="G50" s="61">
        <f t="shared" si="20"/>
        <v>138.67742893261951</v>
      </c>
      <c r="H50" s="61">
        <f t="shared" si="23"/>
        <v>296.26139817629178</v>
      </c>
      <c r="I50" s="61">
        <f t="shared" si="27"/>
        <v>547.80346926969037</v>
      </c>
      <c r="J50" s="61">
        <f t="shared" si="45"/>
        <v>286.97756126727006</v>
      </c>
      <c r="K50" s="61">
        <f t="shared" si="46"/>
        <v>0</v>
      </c>
      <c r="L50" s="61">
        <f t="shared" si="47"/>
        <v>3851.9637462235651</v>
      </c>
      <c r="M50" s="61">
        <f t="shared" si="48"/>
        <v>4993.5045317220538</v>
      </c>
      <c r="N50" s="61">
        <f>N49*$E63</f>
        <v>1768.1463986287938</v>
      </c>
      <c r="O50" s="61">
        <f>O49*$E62</f>
        <v>6924.471299093655</v>
      </c>
      <c r="P50" s="61">
        <f>P49*$E61</f>
        <v>7613.9999999999991</v>
      </c>
      <c r="Q50" s="61">
        <f>Q49*$E60</f>
        <v>7906.9486404833833</v>
      </c>
      <c r="R50" s="61">
        <f>$AD47*0.9</f>
        <v>8100</v>
      </c>
      <c r="S50" s="61"/>
      <c r="T50" s="43">
        <f t="shared" si="10"/>
        <v>1212.9642992057625</v>
      </c>
      <c r="U50" s="43">
        <f t="shared" si="18"/>
        <v>1269.7198576458718</v>
      </c>
      <c r="V50" s="43">
        <f t="shared" si="11"/>
        <v>41159.034616151454</v>
      </c>
      <c r="W50" s="54">
        <f t="shared" si="28"/>
        <v>43641.718773003086</v>
      </c>
      <c r="X50" s="55">
        <f t="shared" si="12"/>
        <v>65462.578159504628</v>
      </c>
      <c r="Y50" s="56"/>
      <c r="Z50" s="64">
        <f t="shared" si="13"/>
        <v>27000</v>
      </c>
      <c r="AA50" s="65">
        <f t="shared" si="21"/>
        <v>38462.578159504628</v>
      </c>
      <c r="AB50" s="42" t="str">
        <f t="shared" si="2"/>
        <v>Y</v>
      </c>
      <c r="AC50" s="55">
        <f t="shared" si="3"/>
        <v>9000</v>
      </c>
      <c r="AD50" s="57">
        <f t="shared" si="14"/>
        <v>9000</v>
      </c>
      <c r="AE50" s="58">
        <f t="shared" si="4"/>
        <v>0.60648214960288127</v>
      </c>
      <c r="AF50" s="59">
        <f t="shared" si="4"/>
        <v>0.63485992882293585</v>
      </c>
      <c r="AG50" s="55">
        <f t="shared" si="5"/>
        <v>0</v>
      </c>
      <c r="AH50" s="55">
        <f t="shared" si="6"/>
        <v>20.579517308075726</v>
      </c>
      <c r="AI50" s="55">
        <f t="shared" si="7"/>
        <v>6</v>
      </c>
      <c r="AJ50" s="35" t="s">
        <v>59</v>
      </c>
      <c r="AK50" s="44" t="str">
        <f t="shared" si="15"/>
        <v>Y</v>
      </c>
      <c r="AL50" s="39">
        <f t="shared" si="16"/>
        <v>0</v>
      </c>
      <c r="AN50" s="28">
        <v>66</v>
      </c>
      <c r="AO50" s="60">
        <v>0.35605577689243029</v>
      </c>
      <c r="AQ50" s="28">
        <f t="shared" si="24"/>
        <v>48</v>
      </c>
      <c r="AR50" s="39">
        <v>0.22188653910708292</v>
      </c>
      <c r="AS50" s="39">
        <f t="shared" si="25"/>
        <v>0.63629071073319421</v>
      </c>
      <c r="BB50" s="69"/>
      <c r="BC50" s="39"/>
      <c r="BD50" s="39">
        <v>0.73329411764705887</v>
      </c>
      <c r="BE50" s="28">
        <f t="shared" si="29"/>
        <v>42</v>
      </c>
      <c r="BF50" s="39"/>
      <c r="BG50" s="61">
        <f t="shared" si="30"/>
        <v>1025.7662373534708</v>
      </c>
      <c r="BH50" s="61">
        <f t="shared" si="31"/>
        <v>868.85975432703742</v>
      </c>
      <c r="BI50" s="61">
        <f t="shared" si="32"/>
        <v>720.45908391047101</v>
      </c>
      <c r="BJ50" s="61">
        <f t="shared" si="33"/>
        <v>559.76084045578102</v>
      </c>
      <c r="BK50" s="61">
        <f t="shared" si="34"/>
        <v>377.24282792135142</v>
      </c>
      <c r="BL50" s="61">
        <f t="shared" si="35"/>
        <v>202.63672856317231</v>
      </c>
      <c r="BM50" s="61">
        <f t="shared" si="36"/>
        <v>113.23999090675322</v>
      </c>
      <c r="BN50" s="61">
        <f t="shared" si="37"/>
        <v>68.228186440642219</v>
      </c>
      <c r="BO50" s="61">
        <f t="shared" si="38"/>
        <v>0</v>
      </c>
      <c r="BP50" s="61">
        <f t="shared" si="39"/>
        <v>0</v>
      </c>
      <c r="BQ50" s="61">
        <f t="shared" si="40"/>
        <v>0</v>
      </c>
      <c r="BR50" s="61">
        <f t="shared" si="41"/>
        <v>0</v>
      </c>
      <c r="BS50" s="61">
        <f t="shared" si="42"/>
        <v>0</v>
      </c>
      <c r="BT50" s="61">
        <f t="shared" si="43"/>
        <v>0</v>
      </c>
      <c r="BU50" s="50">
        <f t="shared" si="44"/>
        <v>3936.1936498786795</v>
      </c>
    </row>
    <row r="51" spans="2:73" x14ac:dyDescent="0.25">
      <c r="C51" s="48"/>
      <c r="D51" s="49" t="str">
        <f t="shared" si="1"/>
        <v>A</v>
      </c>
      <c r="E51" s="28">
        <f t="shared" si="9"/>
        <v>72</v>
      </c>
      <c r="F51" s="55">
        <f t="shared" si="17"/>
        <v>747.47454739346722</v>
      </c>
      <c r="G51" s="61">
        <f t="shared" si="20"/>
        <v>49.376899696048625</v>
      </c>
      <c r="H51" s="61">
        <f t="shared" si="23"/>
        <v>138.67742893261951</v>
      </c>
      <c r="I51" s="61">
        <f t="shared" si="27"/>
        <v>296.26139817629178</v>
      </c>
      <c r="J51" s="61">
        <f t="shared" si="45"/>
        <v>182.60115642323007</v>
      </c>
      <c r="K51" s="61">
        <f t="shared" si="46"/>
        <v>0</v>
      </c>
      <c r="L51" s="61">
        <f t="shared" si="47"/>
        <v>2824.6223564954685</v>
      </c>
      <c r="M51" s="61">
        <f t="shared" si="48"/>
        <v>3851.9637462235651</v>
      </c>
      <c r="N51" s="61">
        <f>N50*$E64</f>
        <v>1439.1494435286363</v>
      </c>
      <c r="O51" s="61">
        <f>O50*$E63</f>
        <v>6135.0453172205434</v>
      </c>
      <c r="P51" s="61">
        <f>P50*$E62</f>
        <v>6924.471299093655</v>
      </c>
      <c r="Q51" s="61">
        <f>Q50*$E61</f>
        <v>7613.9999999999991</v>
      </c>
      <c r="R51" s="61">
        <f>R50*$E60</f>
        <v>7906.9486404833833</v>
      </c>
      <c r="S51" s="61">
        <f>$AD48*0.9</f>
        <v>8100</v>
      </c>
      <c r="T51" s="43">
        <f t="shared" si="10"/>
        <v>747.47454739346722</v>
      </c>
      <c r="U51" s="43">
        <f>SUM(G51:J51)</f>
        <v>666.91688322819004</v>
      </c>
      <c r="V51" s="43">
        <f t="shared" si="11"/>
        <v>44796.200803045249</v>
      </c>
      <c r="W51" s="54">
        <f t="shared" si="28"/>
        <v>46210.592233666903</v>
      </c>
      <c r="X51" s="55">
        <f t="shared" si="12"/>
        <v>69315.888350500347</v>
      </c>
      <c r="Y51" s="56"/>
      <c r="Z51" s="64">
        <f t="shared" si="13"/>
        <v>27000</v>
      </c>
      <c r="AA51" s="65">
        <f t="shared" si="21"/>
        <v>42315.888350500347</v>
      </c>
      <c r="AB51" s="42" t="str">
        <f t="shared" si="2"/>
        <v>Y</v>
      </c>
      <c r="AC51" s="55">
        <f t="shared" si="3"/>
        <v>9000</v>
      </c>
      <c r="AD51" s="57">
        <f t="shared" si="14"/>
        <v>9000</v>
      </c>
      <c r="AE51" s="58">
        <f t="shared" si="4"/>
        <v>0.3737372736967336</v>
      </c>
      <c r="AF51" s="59">
        <f t="shared" si="4"/>
        <v>0.33345844161409505</v>
      </c>
      <c r="AG51" s="55">
        <f t="shared" si="5"/>
        <v>0</v>
      </c>
      <c r="AH51" s="55">
        <f t="shared" si="6"/>
        <v>22.398100401522626</v>
      </c>
      <c r="AI51" s="55">
        <f t="shared" si="7"/>
        <v>6</v>
      </c>
      <c r="AJ51" s="35" t="s">
        <v>60</v>
      </c>
      <c r="AK51" s="44" t="str">
        <f t="shared" si="15"/>
        <v>Y</v>
      </c>
      <c r="AL51" s="39">
        <f t="shared" si="16"/>
        <v>0</v>
      </c>
      <c r="AN51" s="28">
        <v>72</v>
      </c>
      <c r="AO51" s="60">
        <v>0.23497818059751593</v>
      </c>
      <c r="AQ51" s="28">
        <f t="shared" si="24"/>
        <v>54</v>
      </c>
      <c r="AR51" s="39">
        <v>0.12</v>
      </c>
      <c r="AS51" s="39">
        <f t="shared" si="25"/>
        <v>0.54081694402420566</v>
      </c>
      <c r="BB51" s="69"/>
      <c r="BC51" s="39"/>
      <c r="BD51" s="39">
        <v>0.63629071073319421</v>
      </c>
      <c r="BE51" s="28">
        <f t="shared" si="29"/>
        <v>48</v>
      </c>
      <c r="BF51" s="39"/>
      <c r="BG51" s="61">
        <f t="shared" si="30"/>
        <v>890.07331779238109</v>
      </c>
      <c r="BH51" s="61">
        <f t="shared" si="31"/>
        <v>738.48960733579497</v>
      </c>
      <c r="BI51" s="61">
        <f t="shared" si="32"/>
        <v>623.57650695276857</v>
      </c>
      <c r="BJ51" s="61">
        <f t="shared" si="33"/>
        <v>425.78448889335573</v>
      </c>
      <c r="BK51" s="61">
        <f t="shared" si="34"/>
        <v>248.96052557294007</v>
      </c>
      <c r="BL51" s="61">
        <f t="shared" si="35"/>
        <v>146.79899527076634</v>
      </c>
      <c r="BM51" s="61">
        <f t="shared" si="36"/>
        <v>93.043411638931289</v>
      </c>
      <c r="BN51" s="61">
        <f t="shared" si="37"/>
        <v>0</v>
      </c>
      <c r="BO51" s="61">
        <f t="shared" si="38"/>
        <v>0</v>
      </c>
      <c r="BP51" s="61">
        <f t="shared" si="39"/>
        <v>0</v>
      </c>
      <c r="BQ51" s="61">
        <f t="shared" si="40"/>
        <v>0</v>
      </c>
      <c r="BR51" s="61">
        <f t="shared" si="41"/>
        <v>0</v>
      </c>
      <c r="BS51" s="61">
        <f t="shared" si="42"/>
        <v>0</v>
      </c>
      <c r="BT51" s="61">
        <f t="shared" si="43"/>
        <v>0</v>
      </c>
      <c r="BU51" s="50">
        <f t="shared" si="44"/>
        <v>3166.7268534569389</v>
      </c>
    </row>
    <row r="52" spans="2:73" x14ac:dyDescent="0.25">
      <c r="B52" s="48"/>
      <c r="C52" s="48"/>
      <c r="G52" s="29"/>
      <c r="X52" s="72" t="s">
        <v>74</v>
      </c>
      <c r="AJ52" s="41" t="s">
        <v>75</v>
      </c>
      <c r="AN52" s="28">
        <v>78</v>
      </c>
      <c r="AO52" s="60">
        <v>0.17022857142857142</v>
      </c>
      <c r="AQ52" s="28">
        <f t="shared" si="24"/>
        <v>60</v>
      </c>
      <c r="AR52" s="39">
        <v>5.6170974599977622E-2</v>
      </c>
      <c r="AS52" s="39">
        <f t="shared" si="25"/>
        <v>0.46809145499981353</v>
      </c>
      <c r="BB52" s="73"/>
      <c r="BC52" s="39"/>
      <c r="BD52" s="39">
        <v>0.54081694402420566</v>
      </c>
      <c r="BE52" s="28">
        <f t="shared" si="29"/>
        <v>54</v>
      </c>
      <c r="BF52" s="39"/>
      <c r="BG52" s="61">
        <f t="shared" si="30"/>
        <v>756.52013076111859</v>
      </c>
      <c r="BH52" s="61">
        <f t="shared" si="31"/>
        <v>639.18240472987361</v>
      </c>
      <c r="BI52" s="61">
        <f t="shared" si="32"/>
        <v>474.32614986536004</v>
      </c>
      <c r="BJ52" s="61">
        <f t="shared" si="33"/>
        <v>280.99548166306135</v>
      </c>
      <c r="BK52" s="61">
        <f t="shared" si="34"/>
        <v>180.35799963477942</v>
      </c>
      <c r="BL52" s="61">
        <f t="shared" si="35"/>
        <v>120.61710033522164</v>
      </c>
      <c r="BM52" s="61">
        <f t="shared" si="36"/>
        <v>0</v>
      </c>
      <c r="BN52" s="61">
        <f t="shared" si="37"/>
        <v>0</v>
      </c>
      <c r="BO52" s="61">
        <f t="shared" si="38"/>
        <v>0</v>
      </c>
      <c r="BP52" s="61">
        <f t="shared" si="39"/>
        <v>0</v>
      </c>
      <c r="BQ52" s="61">
        <f t="shared" si="40"/>
        <v>0</v>
      </c>
      <c r="BR52" s="61">
        <f t="shared" si="41"/>
        <v>0</v>
      </c>
      <c r="BS52" s="61">
        <f t="shared" si="42"/>
        <v>0</v>
      </c>
      <c r="BT52" s="61">
        <f t="shared" si="43"/>
        <v>0</v>
      </c>
      <c r="BU52" s="50">
        <f t="shared" si="44"/>
        <v>2451.9992669894145</v>
      </c>
    </row>
    <row r="53" spans="2:73" ht="15" customHeight="1" x14ac:dyDescent="0.25">
      <c r="B53" s="48"/>
      <c r="C53" s="48"/>
      <c r="V53" s="13"/>
      <c r="W53" s="13"/>
      <c r="X53" s="13"/>
      <c r="Y53" s="13"/>
      <c r="Z53" s="13"/>
      <c r="AA53" s="13"/>
      <c r="AB53" s="13"/>
      <c r="AC53" s="13"/>
      <c r="AD53" s="13"/>
      <c r="AE53" s="13"/>
      <c r="AF53" s="13"/>
      <c r="AG53" s="13"/>
      <c r="AH53" s="13"/>
      <c r="AN53" s="28">
        <v>84</v>
      </c>
      <c r="AO53" s="60">
        <v>0.13986796464137854</v>
      </c>
      <c r="AQ53" s="28">
        <f t="shared" si="24"/>
        <v>66</v>
      </c>
      <c r="AR53" s="39">
        <v>0.02</v>
      </c>
      <c r="AS53" s="39">
        <f t="shared" si="25"/>
        <v>0.35605577689243029</v>
      </c>
      <c r="BB53" s="74"/>
      <c r="BC53" s="39"/>
      <c r="BD53" s="39">
        <v>0.46809145499981353</v>
      </c>
      <c r="BE53" s="28">
        <f t="shared" si="29"/>
        <v>60</v>
      </c>
      <c r="BF53" s="39"/>
      <c r="BG53" s="61">
        <f t="shared" si="30"/>
        <v>654.78830250697843</v>
      </c>
      <c r="BH53" s="61">
        <f t="shared" si="31"/>
        <v>486.19684307665392</v>
      </c>
      <c r="BI53" s="61">
        <f t="shared" si="32"/>
        <v>313.03043775318264</v>
      </c>
      <c r="BJ53" s="61">
        <f t="shared" si="33"/>
        <v>203.56553659472817</v>
      </c>
      <c r="BK53" s="61">
        <f t="shared" si="34"/>
        <v>148.19078903151197</v>
      </c>
      <c r="BL53" s="61">
        <f t="shared" si="35"/>
        <v>0</v>
      </c>
      <c r="BM53" s="61">
        <f t="shared" si="36"/>
        <v>0</v>
      </c>
      <c r="BN53" s="61">
        <f t="shared" si="37"/>
        <v>0</v>
      </c>
      <c r="BO53" s="61">
        <f t="shared" si="38"/>
        <v>0</v>
      </c>
      <c r="BP53" s="61">
        <f t="shared" si="39"/>
        <v>0</v>
      </c>
      <c r="BQ53" s="61">
        <f t="shared" si="40"/>
        <v>0</v>
      </c>
      <c r="BR53" s="61">
        <f t="shared" si="41"/>
        <v>0</v>
      </c>
      <c r="BS53" s="61">
        <f t="shared" si="42"/>
        <v>0</v>
      </c>
      <c r="BT53" s="61">
        <f t="shared" si="43"/>
        <v>0</v>
      </c>
      <c r="BU53" s="50">
        <f t="shared" si="44"/>
        <v>1805.7719089630552</v>
      </c>
    </row>
    <row r="54" spans="2:73" x14ac:dyDescent="0.25">
      <c r="D54" s="5" t="s">
        <v>76</v>
      </c>
      <c r="AQ54" s="28">
        <f t="shared" si="24"/>
        <v>72</v>
      </c>
      <c r="AR54" s="75">
        <v>4.6995636119503189E-3</v>
      </c>
      <c r="AS54" s="39">
        <f t="shared" si="25"/>
        <v>0.23497818059751593</v>
      </c>
      <c r="BB54" s="74"/>
      <c r="BC54" s="39"/>
      <c r="BD54" s="39">
        <v>0.35605577689243029</v>
      </c>
      <c r="BE54" s="28">
        <f t="shared" si="29"/>
        <v>66</v>
      </c>
      <c r="BF54" s="39"/>
      <c r="BG54" s="61">
        <f t="shared" si="30"/>
        <v>498.06753628794769</v>
      </c>
      <c r="BH54" s="61">
        <f t="shared" si="31"/>
        <v>320.86447408750627</v>
      </c>
      <c r="BI54" s="61">
        <f t="shared" si="32"/>
        <v>226.77307355467687</v>
      </c>
      <c r="BJ54" s="61">
        <f t="shared" si="33"/>
        <v>167.25921527563179</v>
      </c>
      <c r="BK54" s="61">
        <f t="shared" si="34"/>
        <v>0</v>
      </c>
      <c r="BL54" s="61">
        <f t="shared" si="35"/>
        <v>0</v>
      </c>
      <c r="BM54" s="61">
        <f t="shared" si="36"/>
        <v>0</v>
      </c>
      <c r="BN54" s="61">
        <f t="shared" si="37"/>
        <v>0</v>
      </c>
      <c r="BO54" s="61">
        <f t="shared" si="38"/>
        <v>0</v>
      </c>
      <c r="BP54" s="61">
        <f t="shared" si="39"/>
        <v>0</v>
      </c>
      <c r="BQ54" s="61">
        <f t="shared" si="40"/>
        <v>0</v>
      </c>
      <c r="BR54" s="61">
        <f t="shared" si="41"/>
        <v>0</v>
      </c>
      <c r="BS54" s="61">
        <f t="shared" si="42"/>
        <v>0</v>
      </c>
      <c r="BT54" s="61">
        <f t="shared" si="43"/>
        <v>0</v>
      </c>
      <c r="BU54" s="50">
        <f t="shared" si="44"/>
        <v>1212.9642992057625</v>
      </c>
    </row>
    <row r="55" spans="2:73" x14ac:dyDescent="0.25">
      <c r="D55" t="s">
        <v>77</v>
      </c>
      <c r="AQ55" s="28">
        <v>78</v>
      </c>
      <c r="AR55" s="39">
        <v>8.0000000000000004E-4</v>
      </c>
      <c r="AS55" s="39">
        <f t="shared" si="25"/>
        <v>0.17022857142857142</v>
      </c>
      <c r="AT55" s="76"/>
      <c r="AU55" s="76"/>
      <c r="AV55" s="76"/>
      <c r="AW55" s="76"/>
      <c r="AX55" s="76"/>
      <c r="AY55" s="76"/>
      <c r="AZ55" s="76"/>
      <c r="BA55" s="76"/>
      <c r="BB55" s="74"/>
      <c r="BC55" s="75"/>
      <c r="BD55" s="39">
        <v>0.23497818059751593</v>
      </c>
      <c r="BE55" s="28">
        <f t="shared" si="29"/>
        <v>72</v>
      </c>
      <c r="BF55" s="39"/>
      <c r="BG55" s="61">
        <f t="shared" si="30"/>
        <v>328.69851042182978</v>
      </c>
      <c r="BH55" s="61">
        <f t="shared" si="31"/>
        <v>232.44839545188597</v>
      </c>
      <c r="BI55" s="61">
        <f t="shared" si="32"/>
        <v>186.32764151975158</v>
      </c>
      <c r="BJ55" s="61">
        <f t="shared" si="33"/>
        <v>0</v>
      </c>
      <c r="BK55" s="61">
        <f t="shared" si="34"/>
        <v>0</v>
      </c>
      <c r="BL55" s="61">
        <f t="shared" si="35"/>
        <v>0</v>
      </c>
      <c r="BM55" s="61">
        <f t="shared" si="36"/>
        <v>0</v>
      </c>
      <c r="BN55" s="61">
        <f t="shared" si="37"/>
        <v>0</v>
      </c>
      <c r="BO55" s="61">
        <f t="shared" si="38"/>
        <v>0</v>
      </c>
      <c r="BP55" s="61">
        <f t="shared" si="39"/>
        <v>0</v>
      </c>
      <c r="BQ55" s="61">
        <f t="shared" si="40"/>
        <v>0</v>
      </c>
      <c r="BR55" s="61">
        <f t="shared" si="41"/>
        <v>0</v>
      </c>
      <c r="BS55" s="61">
        <f t="shared" si="42"/>
        <v>0</v>
      </c>
      <c r="BT55" s="61">
        <f t="shared" si="43"/>
        <v>0</v>
      </c>
      <c r="BU55" s="50">
        <f t="shared" si="44"/>
        <v>747.47454739346722</v>
      </c>
    </row>
    <row r="56" spans="2:73" ht="15" customHeight="1" x14ac:dyDescent="0.25">
      <c r="D56" t="s">
        <v>78</v>
      </c>
      <c r="AQ56" s="28">
        <v>84</v>
      </c>
      <c r="AR56" s="46">
        <v>1.1189437171310284E-4</v>
      </c>
      <c r="AS56" s="39">
        <f t="shared" si="25"/>
        <v>0.13986796464137854</v>
      </c>
      <c r="BB56" s="77"/>
      <c r="BC56" s="39"/>
      <c r="BD56" s="39">
        <v>0.17022857142857142</v>
      </c>
      <c r="BE56" s="28">
        <v>78</v>
      </c>
      <c r="BF56" s="39"/>
      <c r="BG56" s="61">
        <f t="shared" si="30"/>
        <v>238.12371734909496</v>
      </c>
      <c r="BH56" s="61">
        <f t="shared" si="31"/>
        <v>190.99075838542041</v>
      </c>
      <c r="BI56" s="61">
        <f t="shared" si="32"/>
        <v>0</v>
      </c>
      <c r="BJ56" s="61">
        <f t="shared" si="33"/>
        <v>0</v>
      </c>
      <c r="BK56" s="61">
        <f t="shared" si="34"/>
        <v>0</v>
      </c>
      <c r="BL56" s="61">
        <f t="shared" si="35"/>
        <v>0</v>
      </c>
      <c r="BM56" s="61">
        <f t="shared" si="36"/>
        <v>0</v>
      </c>
      <c r="BN56" s="61">
        <f t="shared" si="37"/>
        <v>0</v>
      </c>
      <c r="BO56" s="61">
        <f t="shared" si="38"/>
        <v>0</v>
      </c>
      <c r="BP56" s="61">
        <f t="shared" si="39"/>
        <v>0</v>
      </c>
      <c r="BQ56" s="61">
        <f t="shared" si="40"/>
        <v>0</v>
      </c>
      <c r="BR56" s="61">
        <f t="shared" si="41"/>
        <v>0</v>
      </c>
      <c r="BS56" s="61">
        <f t="shared" si="42"/>
        <v>0</v>
      </c>
      <c r="BT56" s="61">
        <f t="shared" si="43"/>
        <v>0</v>
      </c>
      <c r="BU56" s="50">
        <f t="shared" si="44"/>
        <v>429.11447573451539</v>
      </c>
    </row>
    <row r="57" spans="2:73" x14ac:dyDescent="0.25">
      <c r="D57" t="s">
        <v>79</v>
      </c>
      <c r="AQ57" s="5"/>
      <c r="AR57" s="5"/>
      <c r="AS57" s="29"/>
      <c r="AT57" s="29"/>
      <c r="AU57" s="29"/>
      <c r="AV57" s="29"/>
      <c r="AW57" s="29"/>
      <c r="AX57" s="29"/>
      <c r="AY57" s="29"/>
      <c r="AZ57" s="29"/>
      <c r="BA57" s="29"/>
      <c r="BB57" s="77"/>
      <c r="BC57" s="46"/>
      <c r="BD57" s="39">
        <v>0.13986796464137854</v>
      </c>
      <c r="BE57" s="28">
        <v>84</v>
      </c>
    </row>
    <row r="58" spans="2:73" x14ac:dyDescent="0.25">
      <c r="D58" t="s">
        <v>80</v>
      </c>
      <c r="AO58" s="78"/>
      <c r="AP58" s="78"/>
      <c r="AQ58" s="5"/>
      <c r="AR58" s="5"/>
      <c r="AS58" s="5"/>
      <c r="AT58" s="5"/>
      <c r="AU58" s="5"/>
      <c r="AV58" s="5"/>
      <c r="AW58" s="5"/>
      <c r="AX58" s="5"/>
      <c r="AY58" s="5"/>
      <c r="AZ58" s="5"/>
      <c r="BA58" s="5"/>
      <c r="BB58" s="5"/>
      <c r="BC58" s="5"/>
      <c r="BD58" s="5"/>
      <c r="BE58" s="5"/>
    </row>
    <row r="59" spans="2:73" x14ac:dyDescent="0.25">
      <c r="D59" s="35" t="s">
        <v>64</v>
      </c>
      <c r="E59" s="79" t="s">
        <v>59</v>
      </c>
      <c r="F59" s="35" t="s">
        <v>8</v>
      </c>
      <c r="G59" s="35" t="s">
        <v>81</v>
      </c>
      <c r="AO59" s="29"/>
      <c r="AP59" s="29"/>
      <c r="AQ59" s="80"/>
      <c r="AR59" s="80"/>
      <c r="AS59" s="80"/>
      <c r="AT59" s="80"/>
      <c r="AU59" s="80"/>
      <c r="AV59" s="80"/>
      <c r="AW59" s="80"/>
      <c r="AX59" s="80"/>
      <c r="AY59" s="80"/>
      <c r="AZ59" s="80"/>
      <c r="BA59" s="80"/>
      <c r="BB59" s="81"/>
      <c r="BC59" s="80"/>
      <c r="BD59" s="80"/>
      <c r="BE59" s="80"/>
    </row>
    <row r="60" spans="2:73" ht="15" customHeight="1" x14ac:dyDescent="0.25">
      <c r="D60" s="28">
        <v>6</v>
      </c>
      <c r="E60" s="60">
        <v>0.97616649882510909</v>
      </c>
      <c r="F60" s="28">
        <v>0.95</v>
      </c>
      <c r="G60" s="28">
        <v>0.95</v>
      </c>
      <c r="AO60" s="29"/>
      <c r="AP60" s="29"/>
      <c r="AQ60" s="80"/>
      <c r="AR60" s="80"/>
      <c r="AS60" s="80"/>
      <c r="AT60" s="80"/>
      <c r="AU60" s="80"/>
      <c r="AV60" s="80"/>
      <c r="AW60" s="80"/>
      <c r="AX60" s="80"/>
      <c r="AY60" s="80"/>
      <c r="AZ60" s="80"/>
      <c r="BA60" s="80"/>
      <c r="BB60" s="81"/>
      <c r="BC60" s="80"/>
      <c r="BD60" s="80"/>
      <c r="BE60" s="80"/>
    </row>
    <row r="61" spans="2:73" x14ac:dyDescent="0.25">
      <c r="D61" s="28">
        <v>12</v>
      </c>
      <c r="E61" s="60">
        <v>0.96295048143053641</v>
      </c>
      <c r="F61" s="28">
        <v>0.95</v>
      </c>
      <c r="G61" s="28">
        <v>0.95</v>
      </c>
      <c r="AO61" s="29"/>
      <c r="AP61" s="29"/>
      <c r="AQ61" s="80"/>
      <c r="AR61" s="80"/>
      <c r="AS61" s="80"/>
      <c r="AT61" s="80"/>
      <c r="AU61" s="80"/>
      <c r="AV61" s="80"/>
      <c r="AW61" s="80"/>
      <c r="AX61" s="80"/>
      <c r="AY61" s="80"/>
      <c r="AZ61" s="80"/>
      <c r="BA61" s="80"/>
      <c r="BB61" s="81"/>
      <c r="BC61" s="80"/>
      <c r="BD61" s="80"/>
      <c r="BE61" s="80"/>
    </row>
    <row r="62" spans="2:73" x14ac:dyDescent="0.25">
      <c r="D62" s="28">
        <v>18</v>
      </c>
      <c r="E62" s="60">
        <v>0.90943936158309113</v>
      </c>
      <c r="F62" s="60">
        <v>0.90943936158309113</v>
      </c>
      <c r="G62" s="60">
        <v>0.95</v>
      </c>
      <c r="AO62" s="29"/>
      <c r="AP62" s="29"/>
      <c r="AQ62" s="80"/>
      <c r="AR62" s="80"/>
      <c r="AS62" s="80"/>
      <c r="AT62" s="80"/>
      <c r="AU62" s="80"/>
      <c r="AV62" s="80"/>
      <c r="AW62" s="80"/>
      <c r="AX62" s="80"/>
      <c r="AY62" s="80"/>
      <c r="AZ62" s="80"/>
      <c r="BA62" s="80"/>
      <c r="BB62" s="80"/>
      <c r="BC62" s="80"/>
      <c r="BD62" s="80"/>
      <c r="BE62" s="80"/>
    </row>
    <row r="63" spans="2:73" x14ac:dyDescent="0.25">
      <c r="D63" s="28">
        <v>24</v>
      </c>
      <c r="E63" s="60">
        <v>0.88599476439790581</v>
      </c>
      <c r="F63" s="60">
        <v>0.88599476439790581</v>
      </c>
      <c r="G63" s="60">
        <v>0.95</v>
      </c>
      <c r="AO63" s="29"/>
      <c r="AP63" s="29"/>
      <c r="AQ63" s="80"/>
      <c r="AR63" s="80"/>
      <c r="AS63" s="80"/>
      <c r="AT63" s="80"/>
      <c r="AU63" s="80"/>
      <c r="AV63" s="80"/>
      <c r="AW63" s="80"/>
      <c r="AX63" s="80"/>
      <c r="AY63" s="80"/>
      <c r="AZ63" s="80"/>
      <c r="BA63" s="80"/>
      <c r="BB63" s="80"/>
      <c r="BC63" s="80"/>
      <c r="BD63" s="80"/>
      <c r="BE63" s="80"/>
    </row>
    <row r="64" spans="2:73" x14ac:dyDescent="0.25">
      <c r="D64" s="28">
        <v>30</v>
      </c>
      <c r="E64" s="60">
        <v>0.81393115674397987</v>
      </c>
      <c r="F64" s="60">
        <v>0.81393115674397987</v>
      </c>
      <c r="G64" s="60">
        <v>0.95</v>
      </c>
      <c r="AO64" s="29"/>
      <c r="AP64" s="29"/>
      <c r="AQ64" s="80"/>
      <c r="AR64" s="80"/>
      <c r="AS64" s="80"/>
      <c r="AT64" s="80"/>
      <c r="AU64" s="80"/>
      <c r="AV64" s="80"/>
      <c r="AW64" s="80"/>
      <c r="AX64" s="80"/>
      <c r="AY64" s="80"/>
      <c r="AZ64" s="80"/>
      <c r="BA64" s="80"/>
      <c r="BB64" s="80"/>
      <c r="BC64" s="80"/>
      <c r="BD64" s="80"/>
      <c r="BE64" s="80"/>
    </row>
    <row r="65" spans="1:57" x14ac:dyDescent="0.25">
      <c r="D65" s="28">
        <v>36</v>
      </c>
      <c r="E65" s="60">
        <v>0.77139486341773311</v>
      </c>
      <c r="F65" s="60">
        <v>0.77139486341773311</v>
      </c>
      <c r="G65" s="60">
        <v>0.88599476439790581</v>
      </c>
      <c r="AO65" s="29"/>
      <c r="AP65" s="29"/>
      <c r="AQ65" s="80"/>
      <c r="AR65" s="80"/>
      <c r="AS65" s="80"/>
      <c r="AT65" s="80"/>
      <c r="AU65" s="80"/>
      <c r="AV65" s="80"/>
      <c r="AW65" s="80"/>
      <c r="AX65" s="80"/>
      <c r="AY65" s="80"/>
      <c r="AZ65" s="80"/>
      <c r="BA65" s="80"/>
      <c r="BB65" s="80"/>
      <c r="BC65" s="80"/>
      <c r="BD65" s="80"/>
      <c r="BE65" s="80"/>
    </row>
    <row r="66" spans="1:57" x14ac:dyDescent="0.25">
      <c r="D66" s="28">
        <v>42</v>
      </c>
      <c r="E66" s="60">
        <v>0.73329411764705887</v>
      </c>
      <c r="F66" s="60">
        <v>0.73329411764705887</v>
      </c>
      <c r="G66" s="60">
        <v>0.81393115674397987</v>
      </c>
      <c r="K66" s="82"/>
      <c r="AO66" s="29"/>
      <c r="AP66" s="29"/>
      <c r="AQ66" s="80"/>
      <c r="AR66" s="80"/>
      <c r="AS66" s="80"/>
      <c r="AT66" s="80"/>
      <c r="AU66" s="80"/>
      <c r="AV66" s="80"/>
      <c r="AW66" s="80"/>
      <c r="AX66" s="80"/>
      <c r="AY66" s="80"/>
      <c r="AZ66" s="80"/>
      <c r="BA66" s="80"/>
      <c r="BB66" s="80"/>
      <c r="BC66" s="80"/>
      <c r="BD66" s="80"/>
      <c r="BE66" s="80"/>
    </row>
    <row r="67" spans="1:57" x14ac:dyDescent="0.25">
      <c r="D67" s="28">
        <v>48</v>
      </c>
      <c r="E67" s="60">
        <v>0.63629071073319421</v>
      </c>
      <c r="F67" s="60">
        <v>0.63629071073319421</v>
      </c>
      <c r="G67" s="60">
        <v>0.77139486341773311</v>
      </c>
      <c r="K67" s="82"/>
      <c r="AO67" s="29"/>
      <c r="AP67" s="29"/>
      <c r="AQ67" s="80"/>
      <c r="AR67" s="80"/>
      <c r="AS67" s="80"/>
      <c r="AT67" s="80"/>
      <c r="AU67" s="80"/>
      <c r="AV67" s="80"/>
      <c r="AW67" s="80"/>
      <c r="AX67" s="80"/>
      <c r="AY67" s="80"/>
      <c r="AZ67" s="80"/>
      <c r="BA67" s="80"/>
      <c r="BB67" s="80"/>
      <c r="BC67" s="80"/>
      <c r="BD67" s="80"/>
      <c r="BE67" s="80"/>
    </row>
    <row r="68" spans="1:57" x14ac:dyDescent="0.25">
      <c r="D68" s="28">
        <v>54</v>
      </c>
      <c r="E68" s="60">
        <v>0.54081694402420566</v>
      </c>
      <c r="F68" s="60">
        <v>0.54081694402420566</v>
      </c>
      <c r="G68" s="60">
        <v>0.73329411764705887</v>
      </c>
    </row>
    <row r="69" spans="1:57" x14ac:dyDescent="0.25">
      <c r="D69" s="28">
        <v>60</v>
      </c>
      <c r="E69" s="60">
        <v>0.46809145499981353</v>
      </c>
      <c r="F69" s="60">
        <v>0.46809145499981353</v>
      </c>
      <c r="G69" s="60">
        <v>0.63629071073319421</v>
      </c>
    </row>
    <row r="70" spans="1:57" x14ac:dyDescent="0.25">
      <c r="D70" s="28">
        <v>66</v>
      </c>
      <c r="E70" s="60">
        <v>0.35605577689243029</v>
      </c>
      <c r="F70" s="60">
        <v>0.35605577689243029</v>
      </c>
      <c r="G70" s="60">
        <v>0.54081694402420566</v>
      </c>
    </row>
    <row r="71" spans="1:57" x14ac:dyDescent="0.25">
      <c r="D71" s="28">
        <v>72</v>
      </c>
      <c r="E71" s="60">
        <v>0.23497818059751593</v>
      </c>
      <c r="F71" s="60">
        <v>0.23497818059751593</v>
      </c>
      <c r="G71" s="60">
        <v>0.46809145499981353</v>
      </c>
    </row>
    <row r="72" spans="1:57" ht="15" customHeight="1" x14ac:dyDescent="0.25">
      <c r="D72" s="39"/>
      <c r="E72" s="60"/>
      <c r="F72" s="60"/>
      <c r="G72" s="60"/>
    </row>
    <row r="73" spans="1:57" x14ac:dyDescent="0.25">
      <c r="D73" s="39"/>
      <c r="E73" s="60"/>
      <c r="F73" s="60"/>
      <c r="G73" s="60"/>
    </row>
    <row r="74" spans="1:57" x14ac:dyDescent="0.25">
      <c r="D74" s="39"/>
      <c r="E74" s="60"/>
      <c r="F74" s="60"/>
      <c r="G74" s="60"/>
    </row>
    <row r="75" spans="1:57" x14ac:dyDescent="0.25">
      <c r="A75" s="29"/>
      <c r="B75" s="29"/>
      <c r="C75" s="29"/>
      <c r="E75" s="83"/>
      <c r="F75" s="83"/>
    </row>
    <row r="76" spans="1:57" x14ac:dyDescent="0.25">
      <c r="A76" s="29"/>
      <c r="B76" s="29"/>
      <c r="C76" s="29"/>
      <c r="E76" s="83"/>
      <c r="F76" s="83"/>
    </row>
    <row r="77" spans="1:57" x14ac:dyDescent="0.25">
      <c r="A77" s="29"/>
      <c r="B77" s="29"/>
      <c r="C77" s="29"/>
    </row>
    <row r="78" spans="1:57" x14ac:dyDescent="0.25">
      <c r="A78" s="29"/>
      <c r="B78" s="29"/>
      <c r="C78" s="29"/>
    </row>
    <row r="79" spans="1:57" x14ac:dyDescent="0.25">
      <c r="A79" s="29"/>
      <c r="B79" s="29"/>
      <c r="C79" s="29"/>
    </row>
    <row r="80" spans="1:57" x14ac:dyDescent="0.25">
      <c r="A80" s="29"/>
      <c r="B80" s="29"/>
      <c r="C80" s="29"/>
    </row>
    <row r="81" spans="1:4" x14ac:dyDescent="0.25">
      <c r="A81" s="29"/>
      <c r="B81" s="29"/>
      <c r="C81" s="29"/>
    </row>
    <row r="82" spans="1:4" x14ac:dyDescent="0.25">
      <c r="A82" s="29"/>
      <c r="B82" s="29"/>
      <c r="C82" s="29"/>
    </row>
    <row r="83" spans="1:4" x14ac:dyDescent="0.25">
      <c r="A83" s="29"/>
      <c r="B83" s="29"/>
      <c r="C83" s="29"/>
    </row>
    <row r="84" spans="1:4" x14ac:dyDescent="0.25">
      <c r="A84" s="29"/>
      <c r="B84" s="29"/>
      <c r="C84" s="29"/>
    </row>
    <row r="85" spans="1:4" x14ac:dyDescent="0.25">
      <c r="A85" s="29"/>
      <c r="B85" s="29"/>
      <c r="C85" s="29"/>
    </row>
    <row r="86" spans="1:4" x14ac:dyDescent="0.25">
      <c r="A86" s="29"/>
      <c r="B86" s="29"/>
      <c r="C86" s="29"/>
    </row>
    <row r="87" spans="1:4" x14ac:dyDescent="0.25">
      <c r="A87" s="29"/>
      <c r="B87" s="29"/>
      <c r="C87" s="29"/>
    </row>
    <row r="88" spans="1:4" x14ac:dyDescent="0.25">
      <c r="A88" s="29"/>
      <c r="B88" s="29"/>
      <c r="C88" s="29"/>
    </row>
    <row r="89" spans="1:4" x14ac:dyDescent="0.25">
      <c r="A89" s="29"/>
      <c r="B89" s="29"/>
      <c r="C89" s="29"/>
      <c r="D89" s="31"/>
    </row>
    <row r="90" spans="1:4" x14ac:dyDescent="0.25">
      <c r="A90" s="29"/>
      <c r="B90" s="29"/>
      <c r="C90" s="29"/>
      <c r="D90" s="31"/>
    </row>
    <row r="91" spans="1:4" x14ac:dyDescent="0.25">
      <c r="D91" s="31"/>
    </row>
    <row r="92" spans="1:4" x14ac:dyDescent="0.25">
      <c r="D92" s="31"/>
    </row>
    <row r="93" spans="1:4" x14ac:dyDescent="0.25">
      <c r="D93" s="31"/>
    </row>
    <row r="94" spans="1:4" x14ac:dyDescent="0.25">
      <c r="D94" s="31"/>
    </row>
    <row r="117" spans="4:4" x14ac:dyDescent="0.25">
      <c r="D117" s="84"/>
    </row>
    <row r="118" spans="4:4" x14ac:dyDescent="0.25">
      <c r="D118" s="84"/>
    </row>
  </sheetData>
  <sheetProtection password="CF27" sheet="1" objects="1" scenarios="1" selectLockedCells="1"/>
  <mergeCells count="8">
    <mergeCell ref="BG38:BT38"/>
    <mergeCell ref="BC41:BC42"/>
    <mergeCell ref="BD41:BD42"/>
    <mergeCell ref="E17:F22"/>
    <mergeCell ref="G17:P20"/>
    <mergeCell ref="G36:J36"/>
    <mergeCell ref="K36:S36"/>
    <mergeCell ref="AN37:AO3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Current</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Randy Oliver</cp:lastModifiedBy>
  <dcterms:created xsi:type="dcterms:W3CDTF">2019-04-04T01:10:23Z</dcterms:created>
  <dcterms:modified xsi:type="dcterms:W3CDTF">2020-02-25T14:21:47Z</dcterms:modified>
</cp:coreProperties>
</file>