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docs.live.net/830a71c3eec52a59/Documents/@Website/"/>
    </mc:Choice>
  </mc:AlternateContent>
  <xr:revisionPtr revIDLastSave="0" documentId="8_{540FA404-4618-42BC-9C75-581A361F96B2}" xr6:coauthVersionLast="47" xr6:coauthVersionMax="47" xr10:uidLastSave="{00000000-0000-0000-0000-000000000000}"/>
  <bookViews>
    <workbookView xWindow="-120" yWindow="-120" windowWidth="29040" windowHeight="15720" xr2:uid="{9C0E1190-34D5-4052-B725-85E0DA65F782}"/>
  </bookViews>
  <sheets>
    <sheet name="OAV model" sheetId="1" r:id="rId1"/>
    <sheet name="Sheet1" sheetId="2" r:id="rId2"/>
  </sheets>
  <definedNames>
    <definedName name="a">#REF!</definedName>
    <definedName name="abc">#REF!</definedName>
    <definedName name="abs">#REF!</definedName>
    <definedName name="b">#REF!</definedName>
    <definedName name="d">#REF!</definedName>
    <definedName name="x">#REF!</definedName>
    <definedName name="xxx">#REF!</definedName>
    <definedName name="xxx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129" i="1" l="1"/>
  <c r="EC129" i="1" s="1"/>
  <c r="DV129" i="1"/>
  <c r="DT129" i="1"/>
  <c r="DN129" i="1"/>
  <c r="CO129" i="1"/>
  <c r="DR129" i="1" s="1"/>
  <c r="DY128" i="1"/>
  <c r="EC128" i="1" s="1"/>
  <c r="DV128" i="1"/>
  <c r="DT128" i="1"/>
  <c r="DP128" i="1"/>
  <c r="CK128" i="1"/>
  <c r="CO128" i="1" s="1"/>
  <c r="DY127" i="1"/>
  <c r="EC127" i="1" s="1"/>
  <c r="DV127" i="1"/>
  <c r="DT127" i="1"/>
  <c r="CK127" i="1"/>
  <c r="CO127" i="1" s="1"/>
  <c r="DY126" i="1"/>
  <c r="EC126" i="1" s="1"/>
  <c r="DV126" i="1"/>
  <c r="DT126" i="1"/>
  <c r="DQ126" i="1"/>
  <c r="DO126" i="1"/>
  <c r="DM126" i="1"/>
  <c r="CK126" i="1"/>
  <c r="CO126" i="1" s="1"/>
  <c r="DY125" i="1"/>
  <c r="EC125" i="1" s="1"/>
  <c r="DV125" i="1"/>
  <c r="DT125" i="1"/>
  <c r="CK125" i="1"/>
  <c r="CO125" i="1" s="1"/>
  <c r="DY124" i="1"/>
  <c r="EC124" i="1" s="1"/>
  <c r="DV124" i="1"/>
  <c r="DT124" i="1"/>
  <c r="DN124" i="1"/>
  <c r="CK124" i="1"/>
  <c r="CO124" i="1" s="1"/>
  <c r="DY123" i="1"/>
  <c r="EC123" i="1" s="1"/>
  <c r="DV123" i="1"/>
  <c r="DT123" i="1"/>
  <c r="CK123" i="1"/>
  <c r="CO123" i="1" s="1"/>
  <c r="DY122" i="1"/>
  <c r="EC122" i="1" s="1"/>
  <c r="DV122" i="1"/>
  <c r="DT122" i="1"/>
  <c r="DM122" i="1"/>
  <c r="CK122" i="1"/>
  <c r="CO122" i="1" s="1"/>
  <c r="DY121" i="1"/>
  <c r="EC121" i="1" s="1"/>
  <c r="DV121" i="1"/>
  <c r="DT121" i="1"/>
  <c r="CK121" i="1"/>
  <c r="CO121" i="1" s="1"/>
  <c r="DY120" i="1"/>
  <c r="EC120" i="1" s="1"/>
  <c r="DV120" i="1"/>
  <c r="DT120" i="1"/>
  <c r="CK120" i="1"/>
  <c r="CO120" i="1" s="1"/>
  <c r="DI122" i="1" s="1"/>
  <c r="BM101" i="1"/>
  <c r="DY119" i="1"/>
  <c r="EC119" i="1" s="1"/>
  <c r="DV119" i="1"/>
  <c r="DT119" i="1"/>
  <c r="DO119" i="1"/>
  <c r="DN119" i="1"/>
  <c r="CK119" i="1"/>
  <c r="CO119" i="1" s="1"/>
  <c r="BM100" i="1"/>
  <c r="DY118" i="1"/>
  <c r="EC118" i="1" s="1"/>
  <c r="DV118" i="1"/>
  <c r="DT118" i="1"/>
  <c r="DP118" i="1"/>
  <c r="DM118" i="1"/>
  <c r="CK118" i="1"/>
  <c r="CO118" i="1" s="1"/>
  <c r="BM99" i="1"/>
  <c r="DY117" i="1"/>
  <c r="EC117" i="1" s="1"/>
  <c r="DV117" i="1"/>
  <c r="DT117" i="1"/>
  <c r="CK117" i="1"/>
  <c r="CO117" i="1" s="1"/>
  <c r="CQ118" i="1" s="1"/>
  <c r="BM98" i="1"/>
  <c r="DY116" i="1"/>
  <c r="EC116" i="1" s="1"/>
  <c r="DV116" i="1"/>
  <c r="DT116" i="1"/>
  <c r="CK116" i="1"/>
  <c r="CO116" i="1" s="1"/>
  <c r="DR116" i="1" s="1"/>
  <c r="BM97" i="1"/>
  <c r="DY115" i="1"/>
  <c r="EC115" i="1" s="1"/>
  <c r="DV115" i="1"/>
  <c r="DT115" i="1"/>
  <c r="CK115" i="1"/>
  <c r="CO115" i="1" s="1"/>
  <c r="DR115" i="1" s="1"/>
  <c r="BM96" i="1"/>
  <c r="DY114" i="1"/>
  <c r="EC114" i="1" s="1"/>
  <c r="DV114" i="1"/>
  <c r="DT114" i="1"/>
  <c r="DN114" i="1"/>
  <c r="DM114" i="1"/>
  <c r="CK114" i="1"/>
  <c r="CO114" i="1" s="1"/>
  <c r="BM95" i="1"/>
  <c r="DY113" i="1"/>
  <c r="EC113" i="1" s="1"/>
  <c r="DV113" i="1"/>
  <c r="DT113" i="1"/>
  <c r="CK113" i="1"/>
  <c r="CO113" i="1" s="1"/>
  <c r="BM94" i="1"/>
  <c r="DY112" i="1"/>
  <c r="EC112" i="1" s="1"/>
  <c r="DV112" i="1"/>
  <c r="DT112" i="1"/>
  <c r="DQ112" i="1"/>
  <c r="DO112" i="1"/>
  <c r="CO112" i="1"/>
  <c r="CK112" i="1"/>
  <c r="BM93" i="1"/>
  <c r="DY111" i="1"/>
  <c r="EC111" i="1" s="1"/>
  <c r="DV111" i="1"/>
  <c r="DT111" i="1"/>
  <c r="CK111" i="1"/>
  <c r="CO111" i="1" s="1"/>
  <c r="CT115" i="1" s="1"/>
  <c r="BM92" i="1"/>
  <c r="DY110" i="1"/>
  <c r="EC110" i="1" s="1"/>
  <c r="DV110" i="1"/>
  <c r="DT110" i="1"/>
  <c r="DM110" i="1"/>
  <c r="CK110" i="1"/>
  <c r="CO110" i="1" s="1"/>
  <c r="BM91" i="1"/>
  <c r="DY109" i="1"/>
  <c r="EC109" i="1" s="1"/>
  <c r="DV109" i="1"/>
  <c r="DT109" i="1"/>
  <c r="DN109" i="1"/>
  <c r="CO109" i="1"/>
  <c r="CK109" i="1"/>
  <c r="BM90" i="1"/>
  <c r="DY108" i="1"/>
  <c r="EC108" i="1" s="1"/>
  <c r="DV108" i="1"/>
  <c r="DT108" i="1"/>
  <c r="DP108" i="1"/>
  <c r="CK108" i="1"/>
  <c r="CO108" i="1" s="1"/>
  <c r="BM89" i="1"/>
  <c r="DY107" i="1"/>
  <c r="EC107" i="1" s="1"/>
  <c r="DV107" i="1"/>
  <c r="DT107" i="1"/>
  <c r="CK107" i="1"/>
  <c r="CO107" i="1" s="1"/>
  <c r="BM88" i="1"/>
  <c r="DV106" i="1"/>
  <c r="DT106" i="1"/>
  <c r="DM106" i="1"/>
  <c r="CK106" i="1"/>
  <c r="CO106" i="1" s="1"/>
  <c r="BM87" i="1"/>
  <c r="DV105" i="1"/>
  <c r="DT105" i="1"/>
  <c r="DO105" i="1"/>
  <c r="CK105" i="1"/>
  <c r="CO105" i="1" s="1"/>
  <c r="BM86" i="1"/>
  <c r="DV104" i="1"/>
  <c r="DT104" i="1"/>
  <c r="DN104" i="1"/>
  <c r="CK104" i="1"/>
  <c r="CO104" i="1" s="1"/>
  <c r="BM85" i="1"/>
  <c r="DV103" i="1"/>
  <c r="DT103" i="1"/>
  <c r="CO103" i="1"/>
  <c r="DR103" i="1" s="1"/>
  <c r="CK103" i="1"/>
  <c r="BM84" i="1"/>
  <c r="DV102" i="1"/>
  <c r="DT102" i="1"/>
  <c r="DM102" i="1"/>
  <c r="CK102" i="1"/>
  <c r="CO102" i="1" s="1"/>
  <c r="BM83" i="1"/>
  <c r="DV101" i="1"/>
  <c r="DT101" i="1"/>
  <c r="CK101" i="1"/>
  <c r="CO101" i="1" s="1"/>
  <c r="BM82" i="1"/>
  <c r="DV100" i="1"/>
  <c r="DT100" i="1"/>
  <c r="CK100" i="1"/>
  <c r="CO100" i="1" s="1"/>
  <c r="BM81" i="1"/>
  <c r="DV99" i="1"/>
  <c r="DT99" i="1"/>
  <c r="DN99" i="1"/>
  <c r="CK99" i="1"/>
  <c r="CO99" i="1" s="1"/>
  <c r="DR99" i="1" s="1"/>
  <c r="BM80" i="1"/>
  <c r="DV98" i="1"/>
  <c r="DT98" i="1"/>
  <c r="DQ98" i="1"/>
  <c r="DP98" i="1"/>
  <c r="DO98" i="1"/>
  <c r="DM98" i="1"/>
  <c r="CK98" i="1"/>
  <c r="BM79" i="1"/>
  <c r="DV97" i="1"/>
  <c r="DT97" i="1"/>
  <c r="CK97" i="1"/>
  <c r="CO97" i="1" s="1"/>
  <c r="BM78" i="1"/>
  <c r="DV96" i="1"/>
  <c r="DT96" i="1"/>
  <c r="CK96" i="1"/>
  <c r="CO96" i="1" s="1"/>
  <c r="CQ97" i="1" s="1"/>
  <c r="BM77" i="1"/>
  <c r="DV95" i="1"/>
  <c r="DT95" i="1"/>
  <c r="CK95" i="1"/>
  <c r="CO95" i="1" s="1"/>
  <c r="BM76" i="1"/>
  <c r="DV94" i="1"/>
  <c r="DT94" i="1"/>
  <c r="DN94" i="1"/>
  <c r="DM94" i="1"/>
  <c r="CK94" i="1"/>
  <c r="CO94" i="1" s="1"/>
  <c r="BM75" i="1"/>
  <c r="DV93" i="1"/>
  <c r="DT93" i="1"/>
  <c r="DW93" i="1" s="1"/>
  <c r="CK93" i="1"/>
  <c r="CO93" i="1" s="1"/>
  <c r="BM74" i="1"/>
  <c r="DV92" i="1"/>
  <c r="DT92" i="1"/>
  <c r="CK92" i="1"/>
  <c r="CO92" i="1" s="1"/>
  <c r="BM73" i="1"/>
  <c r="DV91" i="1"/>
  <c r="DT91" i="1"/>
  <c r="DO91" i="1"/>
  <c r="CK91" i="1"/>
  <c r="CO91" i="1" s="1"/>
  <c r="BM72" i="1"/>
  <c r="DV90" i="1"/>
  <c r="DT90" i="1"/>
  <c r="DM90" i="1"/>
  <c r="CK90" i="1"/>
  <c r="CO90" i="1" s="1"/>
  <c r="BM71" i="1"/>
  <c r="DV89" i="1"/>
  <c r="DT89" i="1"/>
  <c r="DN89" i="1"/>
  <c r="CK89" i="1"/>
  <c r="CO89" i="1" s="1"/>
  <c r="BM70" i="1"/>
  <c r="DV88" i="1"/>
  <c r="DT88" i="1"/>
  <c r="DP88" i="1"/>
  <c r="CK88" i="1"/>
  <c r="BM69" i="1"/>
  <c r="DV87" i="1"/>
  <c r="DT87" i="1"/>
  <c r="CK87" i="1"/>
  <c r="CO87" i="1" s="1"/>
  <c r="BM68" i="1"/>
  <c r="DV86" i="1"/>
  <c r="DT86" i="1"/>
  <c r="DM86" i="1"/>
  <c r="CK86" i="1"/>
  <c r="CO86" i="1" s="1"/>
  <c r="BM67" i="1"/>
  <c r="DV85" i="1"/>
  <c r="DT85" i="1"/>
  <c r="CK85" i="1"/>
  <c r="CO85" i="1" s="1"/>
  <c r="BM66" i="1"/>
  <c r="DV84" i="1"/>
  <c r="DT84" i="1"/>
  <c r="DQ84" i="1"/>
  <c r="DO84" i="1"/>
  <c r="DN84" i="1"/>
  <c r="CK84" i="1"/>
  <c r="CO84" i="1" s="1"/>
  <c r="BM65" i="1"/>
  <c r="DV83" i="1"/>
  <c r="DT83" i="1"/>
  <c r="CK83" i="1"/>
  <c r="CO83" i="1" s="1"/>
  <c r="BM64" i="1"/>
  <c r="DV82" i="1"/>
  <c r="DT82" i="1"/>
  <c r="DM82" i="1"/>
  <c r="CK82" i="1"/>
  <c r="CO82" i="1" s="1"/>
  <c r="BM63" i="1"/>
  <c r="DV81" i="1"/>
  <c r="DT81" i="1"/>
  <c r="CK81" i="1"/>
  <c r="CO81" i="1" s="1"/>
  <c r="BM62" i="1"/>
  <c r="DV80" i="1"/>
  <c r="DT80" i="1"/>
  <c r="DP80" i="1"/>
  <c r="CK80" i="1"/>
  <c r="BM61" i="1"/>
  <c r="DV79" i="1"/>
  <c r="DT79" i="1"/>
  <c r="DN79" i="1"/>
  <c r="CK79" i="1"/>
  <c r="CO79" i="1" s="1"/>
  <c r="BM60" i="1"/>
  <c r="DV78" i="1"/>
  <c r="DT78" i="1"/>
  <c r="DM78" i="1"/>
  <c r="CK78" i="1"/>
  <c r="CO78" i="1" s="1"/>
  <c r="BM59" i="1"/>
  <c r="DV77" i="1"/>
  <c r="DT77" i="1"/>
  <c r="DO77" i="1"/>
  <c r="CK77" i="1"/>
  <c r="CO77" i="1" s="1"/>
  <c r="BM58" i="1"/>
  <c r="DV76" i="1"/>
  <c r="DT76" i="1"/>
  <c r="CK76" i="1"/>
  <c r="CO76" i="1" s="1"/>
  <c r="BM57" i="1"/>
  <c r="DV75" i="1"/>
  <c r="DT75" i="1"/>
  <c r="DN75" i="1"/>
  <c r="CK75" i="1"/>
  <c r="CO75" i="1" s="1"/>
  <c r="BM56" i="1"/>
  <c r="DV74" i="1"/>
  <c r="DT74" i="1"/>
  <c r="DM74" i="1"/>
  <c r="CK74" i="1"/>
  <c r="CO74" i="1" s="1"/>
  <c r="BM55" i="1"/>
  <c r="DV73" i="1"/>
  <c r="DT73" i="1"/>
  <c r="CT73" i="1"/>
  <c r="CK73" i="1"/>
  <c r="CO73" i="1" s="1"/>
  <c r="BM54" i="1"/>
  <c r="DV72" i="1"/>
  <c r="DT72" i="1"/>
  <c r="CT72" i="1"/>
  <c r="CS72" i="1"/>
  <c r="CK72" i="1"/>
  <c r="CO72" i="1" s="1"/>
  <c r="BM53" i="1"/>
  <c r="DV71" i="1"/>
  <c r="DT71" i="1"/>
  <c r="DI71" i="1"/>
  <c r="CT71" i="1"/>
  <c r="CS71" i="1"/>
  <c r="CR71" i="1"/>
  <c r="CK71" i="1"/>
  <c r="CO71" i="1" s="1"/>
  <c r="BM52" i="1"/>
  <c r="DV70" i="1"/>
  <c r="DT70" i="1"/>
  <c r="DQ70" i="1"/>
  <c r="DP70" i="1"/>
  <c r="DO70" i="1"/>
  <c r="DN70" i="1"/>
  <c r="DM70" i="1"/>
  <c r="DI70" i="1"/>
  <c r="CT70" i="1"/>
  <c r="CS70" i="1"/>
  <c r="CR70" i="1"/>
  <c r="CQ70" i="1"/>
  <c r="CK70" i="1"/>
  <c r="BM51" i="1"/>
  <c r="DV69" i="1"/>
  <c r="DT69" i="1"/>
  <c r="DI69" i="1"/>
  <c r="CR69" i="1"/>
  <c r="CQ69" i="1"/>
  <c r="BM50" i="1"/>
  <c r="DV68" i="1"/>
  <c r="DT68" i="1"/>
  <c r="DI68" i="1"/>
  <c r="CR68" i="1"/>
  <c r="CQ68" i="1"/>
  <c r="BM49" i="1"/>
  <c r="DV67" i="1"/>
  <c r="DT67" i="1"/>
  <c r="DI67" i="1"/>
  <c r="CR67" i="1"/>
  <c r="CQ67" i="1"/>
  <c r="CI67" i="1"/>
  <c r="CL57" i="1" s="1"/>
  <c r="BM48" i="1"/>
  <c r="DV66" i="1"/>
  <c r="DT66" i="1"/>
  <c r="DI66" i="1"/>
  <c r="CR66" i="1"/>
  <c r="CQ66" i="1"/>
  <c r="BM47" i="1"/>
  <c r="DV65" i="1"/>
  <c r="DT65" i="1"/>
  <c r="DI65" i="1"/>
  <c r="CR65" i="1"/>
  <c r="CQ65" i="1"/>
  <c r="BM46" i="1"/>
  <c r="DV64" i="1"/>
  <c r="DT64" i="1"/>
  <c r="DI64" i="1"/>
  <c r="CR64" i="1"/>
  <c r="CQ64" i="1"/>
  <c r="BM45" i="1"/>
  <c r="DV63" i="1"/>
  <c r="DT63" i="1"/>
  <c r="DI63" i="1"/>
  <c r="CR63" i="1"/>
  <c r="CQ63" i="1"/>
  <c r="BM44" i="1"/>
  <c r="DV62" i="1"/>
  <c r="DT62" i="1"/>
  <c r="DI62" i="1"/>
  <c r="CR62" i="1"/>
  <c r="CQ62" i="1"/>
  <c r="BM43" i="1"/>
  <c r="DV61" i="1"/>
  <c r="DT61" i="1"/>
  <c r="DI61" i="1"/>
  <c r="CR61" i="1"/>
  <c r="CQ61" i="1"/>
  <c r="DV60" i="1"/>
  <c r="DT60" i="1"/>
  <c r="DI60" i="1"/>
  <c r="CR60" i="1"/>
  <c r="CQ60" i="1"/>
  <c r="DV59" i="1"/>
  <c r="DT59" i="1"/>
  <c r="DI59" i="1"/>
  <c r="CQ59" i="1"/>
  <c r="EA58" i="1"/>
  <c r="DX58" i="1"/>
  <c r="DY58" i="1" s="1"/>
  <c r="DV58" i="1"/>
  <c r="DT58" i="1"/>
  <c r="CJ58" i="1"/>
  <c r="CJ59" i="1" s="1"/>
  <c r="CJ60" i="1" s="1"/>
  <c r="CJ61" i="1" s="1"/>
  <c r="CJ62" i="1" s="1"/>
  <c r="CJ63" i="1" s="1"/>
  <c r="CJ64" i="1" s="1"/>
  <c r="CJ65" i="1" s="1"/>
  <c r="CJ66" i="1" s="1"/>
  <c r="CJ67" i="1" s="1"/>
  <c r="CJ68" i="1" s="1"/>
  <c r="DZ57" i="1"/>
  <c r="DZ58" i="1" s="1"/>
  <c r="DZ59" i="1" s="1"/>
  <c r="DZ60" i="1" s="1"/>
  <c r="DZ61" i="1" s="1"/>
  <c r="DZ62" i="1" s="1"/>
  <c r="DZ63" i="1" s="1"/>
  <c r="DZ64" i="1" s="1"/>
  <c r="DZ65" i="1" s="1"/>
  <c r="DV57" i="1"/>
  <c r="DT57" i="1"/>
  <c r="DY57" i="1" s="1"/>
  <c r="DW123" i="1" l="1"/>
  <c r="CM123" i="1" s="1"/>
  <c r="DW94" i="1"/>
  <c r="CO98" i="1"/>
  <c r="DW124" i="1"/>
  <c r="CM124" i="1" s="1"/>
  <c r="DW95" i="1"/>
  <c r="DW108" i="1"/>
  <c r="DW88" i="1"/>
  <c r="DW70" i="1"/>
  <c r="DW60" i="1"/>
  <c r="DW91" i="1"/>
  <c r="DW66" i="1"/>
  <c r="DW113" i="1"/>
  <c r="CM113" i="1" s="1"/>
  <c r="DW76" i="1"/>
  <c r="DW79" i="1"/>
  <c r="DW125" i="1"/>
  <c r="CM125" i="1" s="1"/>
  <c r="DW117" i="1"/>
  <c r="CM117" i="1" s="1"/>
  <c r="DW82" i="1"/>
  <c r="EB58" i="1"/>
  <c r="EC58" i="1" s="1"/>
  <c r="DW96" i="1"/>
  <c r="EA59" i="1"/>
  <c r="EA60" i="1" s="1"/>
  <c r="ED109" i="1"/>
  <c r="DW67" i="1"/>
  <c r="ED107" i="1"/>
  <c r="DW121" i="1"/>
  <c r="CM121" i="1" s="1"/>
  <c r="DR96" i="1"/>
  <c r="DW112" i="1"/>
  <c r="CM112" i="1" s="1"/>
  <c r="DW59" i="1"/>
  <c r="DW98" i="1"/>
  <c r="DW102" i="1"/>
  <c r="DW86" i="1"/>
  <c r="DW105" i="1"/>
  <c r="DW110" i="1"/>
  <c r="CM110" i="1" s="1"/>
  <c r="DW57" i="1"/>
  <c r="DW68" i="1"/>
  <c r="DW81" i="1"/>
  <c r="DW119" i="1"/>
  <c r="CM119" i="1" s="1"/>
  <c r="DW63" i="1"/>
  <c r="DW77" i="1"/>
  <c r="CO88" i="1"/>
  <c r="DR88" i="1" s="1"/>
  <c r="DR85" i="1"/>
  <c r="DW111" i="1"/>
  <c r="CM111" i="1" s="1"/>
  <c r="DW62" i="1"/>
  <c r="DW74" i="1"/>
  <c r="DW69" i="1"/>
  <c r="DI98" i="1"/>
  <c r="DW120" i="1"/>
  <c r="CM120" i="1" s="1"/>
  <c r="DW64" i="1"/>
  <c r="CQ104" i="1"/>
  <c r="DW109" i="1"/>
  <c r="CM109" i="1" s="1"/>
  <c r="DW116" i="1"/>
  <c r="CM116" i="1" s="1"/>
  <c r="DW129" i="1"/>
  <c r="CM129" i="1" s="1"/>
  <c r="DW65" i="1"/>
  <c r="CO70" i="1"/>
  <c r="DR70" i="1" s="1"/>
  <c r="CO80" i="1"/>
  <c r="DR80" i="1" s="1"/>
  <c r="DR109" i="1"/>
  <c r="DR111" i="1"/>
  <c r="CR113" i="1"/>
  <c r="CS114" i="1"/>
  <c r="DG96" i="1"/>
  <c r="CT99" i="1"/>
  <c r="DR95" i="1"/>
  <c r="CR97" i="1"/>
  <c r="DI97" i="1"/>
  <c r="CQ96" i="1"/>
  <c r="CS98" i="1"/>
  <c r="DR108" i="1"/>
  <c r="DR86" i="1"/>
  <c r="DR73" i="1"/>
  <c r="DW92" i="1"/>
  <c r="ED108" i="1"/>
  <c r="CM108" i="1" s="1"/>
  <c r="DW89" i="1"/>
  <c r="DW122" i="1"/>
  <c r="CM122" i="1" s="1"/>
  <c r="DW100" i="1"/>
  <c r="DW103" i="1"/>
  <c r="DW115" i="1"/>
  <c r="CM115" i="1" s="1"/>
  <c r="DW75" i="1"/>
  <c r="DW84" i="1"/>
  <c r="DW80" i="1"/>
  <c r="DW106" i="1"/>
  <c r="DW85" i="1"/>
  <c r="DW99" i="1"/>
  <c r="DW107" i="1"/>
  <c r="DW118" i="1"/>
  <c r="CM118" i="1" s="1"/>
  <c r="DW73" i="1"/>
  <c r="DW90" i="1"/>
  <c r="DZ66" i="1"/>
  <c r="EB57" i="1"/>
  <c r="ED57" i="1" s="1"/>
  <c r="DW58" i="1"/>
  <c r="DX59" i="1"/>
  <c r="DR78" i="1"/>
  <c r="DR82" i="1"/>
  <c r="DR76" i="1"/>
  <c r="DR89" i="1"/>
  <c r="DR71" i="1"/>
  <c r="DW71" i="1"/>
  <c r="DR75" i="1"/>
  <c r="DR81" i="1"/>
  <c r="DW78" i="1"/>
  <c r="CS100" i="1"/>
  <c r="DI99" i="1"/>
  <c r="CR99" i="1"/>
  <c r="CT101" i="1"/>
  <c r="CQ98" i="1"/>
  <c r="DR97" i="1"/>
  <c r="DG98" i="1"/>
  <c r="DR74" i="1"/>
  <c r="DR77" i="1"/>
  <c r="DR87" i="1"/>
  <c r="CR102" i="1"/>
  <c r="DR100" i="1"/>
  <c r="DG101" i="1"/>
  <c r="CS103" i="1"/>
  <c r="CT104" i="1"/>
  <c r="DI102" i="1"/>
  <c r="CQ101" i="1"/>
  <c r="DW61" i="1"/>
  <c r="DW72" i="1"/>
  <c r="DR90" i="1"/>
  <c r="DR92" i="1"/>
  <c r="DR93" i="1"/>
  <c r="DI95" i="1"/>
  <c r="CQ94" i="1"/>
  <c r="CT97" i="1"/>
  <c r="CS96" i="1"/>
  <c r="DG94" i="1"/>
  <c r="CR95" i="1"/>
  <c r="DW101" i="1"/>
  <c r="CS106" i="1"/>
  <c r="CT107" i="1"/>
  <c r="DG104" i="1"/>
  <c r="CR105" i="1"/>
  <c r="DI105" i="1"/>
  <c r="CS110" i="1"/>
  <c r="DG108" i="1"/>
  <c r="CQ108" i="1"/>
  <c r="CT111" i="1"/>
  <c r="CR109" i="1"/>
  <c r="DR107" i="1"/>
  <c r="DI109" i="1"/>
  <c r="DR128" i="1"/>
  <c r="DR83" i="1"/>
  <c r="DR94" i="1"/>
  <c r="CR98" i="1"/>
  <c r="DG97" i="1"/>
  <c r="CT100" i="1"/>
  <c r="DR102" i="1"/>
  <c r="DW104" i="1"/>
  <c r="DR126" i="1"/>
  <c r="DR79" i="1"/>
  <c r="CS99" i="1"/>
  <c r="CQ114" i="1"/>
  <c r="DG114" i="1"/>
  <c r="CT117" i="1"/>
  <c r="DR113" i="1"/>
  <c r="DI115" i="1"/>
  <c r="CR115" i="1"/>
  <c r="CS116" i="1"/>
  <c r="DW83" i="1"/>
  <c r="DR98" i="1"/>
  <c r="DR72" i="1"/>
  <c r="DR84" i="1"/>
  <c r="DW87" i="1"/>
  <c r="DR91" i="1"/>
  <c r="DR114" i="1"/>
  <c r="DR118" i="1"/>
  <c r="DW97" i="1"/>
  <c r="DR119" i="1"/>
  <c r="DR123" i="1"/>
  <c r="DW128" i="1"/>
  <c r="CM128" i="1" s="1"/>
  <c r="CT125" i="1"/>
  <c r="CS124" i="1"/>
  <c r="DR121" i="1"/>
  <c r="DI123" i="1"/>
  <c r="CR123" i="1"/>
  <c r="CQ122" i="1"/>
  <c r="DG122" i="1"/>
  <c r="DR101" i="1"/>
  <c r="DR104" i="1"/>
  <c r="CR119" i="1"/>
  <c r="DR117" i="1"/>
  <c r="CT121" i="1"/>
  <c r="CS120" i="1"/>
  <c r="DG118" i="1"/>
  <c r="DI119" i="1"/>
  <c r="DR105" i="1"/>
  <c r="DW126" i="1"/>
  <c r="CM126" i="1" s="1"/>
  <c r="DW114" i="1"/>
  <c r="CM114" i="1" s="1"/>
  <c r="CQ121" i="1"/>
  <c r="CT120" i="1"/>
  <c r="DI118" i="1"/>
  <c r="CR118" i="1"/>
  <c r="CQ117" i="1"/>
  <c r="DG117" i="1"/>
  <c r="DR122" i="1"/>
  <c r="DR125" i="1"/>
  <c r="CS119" i="1"/>
  <c r="DR127" i="1"/>
  <c r="DW127" i="1"/>
  <c r="CM127" i="1" s="1"/>
  <c r="DR112" i="1"/>
  <c r="CT124" i="1"/>
  <c r="DR120" i="1"/>
  <c r="CS123" i="1"/>
  <c r="CR122" i="1"/>
  <c r="DR106" i="1"/>
  <c r="DR110" i="1"/>
  <c r="DI113" i="1"/>
  <c r="DG112" i="1"/>
  <c r="CQ112" i="1"/>
  <c r="DG121" i="1"/>
  <c r="DR124" i="1"/>
  <c r="CM107" i="1" l="1"/>
  <c r="ED58" i="1"/>
  <c r="EB59" i="1"/>
  <c r="CM57" i="1"/>
  <c r="CN57" i="1" s="1"/>
  <c r="CU57" i="1" s="1"/>
  <c r="CM58" i="1"/>
  <c r="EC57" i="1"/>
  <c r="DY59" i="1"/>
  <c r="EC59" i="1" s="1"/>
  <c r="DX60" i="1"/>
  <c r="EB60" i="1"/>
  <c r="EA61" i="1"/>
  <c r="DZ67" i="1"/>
  <c r="CV57" i="1" l="1"/>
  <c r="DZ68" i="1"/>
  <c r="EB61" i="1"/>
  <c r="EA62" i="1"/>
  <c r="DY60" i="1"/>
  <c r="EC60" i="1" s="1"/>
  <c r="DX61" i="1"/>
  <c r="CX57" i="1"/>
  <c r="ED59" i="1"/>
  <c r="CM59" i="1" s="1"/>
  <c r="CW57" i="1"/>
  <c r="CX69" i="1" s="1"/>
  <c r="CY69" i="1" s="1"/>
  <c r="CY57" i="1" l="1"/>
  <c r="DD57" i="1"/>
  <c r="DF57" i="1" s="1"/>
  <c r="DX62" i="1"/>
  <c r="DY61" i="1"/>
  <c r="EC61" i="1" s="1"/>
  <c r="ED60" i="1"/>
  <c r="CM60" i="1" s="1"/>
  <c r="CZ57" i="1"/>
  <c r="EB62" i="1"/>
  <c r="EA63" i="1"/>
  <c r="DZ69" i="1"/>
  <c r="DB57" i="1"/>
  <c r="EA64" i="1" l="1"/>
  <c r="EB63" i="1"/>
  <c r="CN58" i="1"/>
  <c r="DE57" i="1"/>
  <c r="CL58" i="1" s="1"/>
  <c r="DJ58" i="1" s="1"/>
  <c r="DH57" i="1"/>
  <c r="DC57" i="1"/>
  <c r="CV58" i="1"/>
  <c r="CX58" i="1" s="1"/>
  <c r="CY58" i="1" s="1"/>
  <c r="DZ70" i="1"/>
  <c r="DX63" i="1"/>
  <c r="DY62" i="1"/>
  <c r="EC62" i="1" s="1"/>
  <c r="ED61" i="1"/>
  <c r="CM61" i="1" s="1"/>
  <c r="DZ71" i="1" l="1"/>
  <c r="DX64" i="1"/>
  <c r="DY63" i="1"/>
  <c r="EC63" i="1" s="1"/>
  <c r="DD58" i="1"/>
  <c r="CP58" i="1"/>
  <c r="CU58" i="1"/>
  <c r="ED62" i="1"/>
  <c r="CM62" i="1" s="1"/>
  <c r="EA65" i="1"/>
  <c r="EB64" i="1"/>
  <c r="CW58" i="1" l="1"/>
  <c r="CZ58" i="1" s="1"/>
  <c r="EA66" i="1"/>
  <c r="EB65" i="1"/>
  <c r="DX65" i="1"/>
  <c r="DY64" i="1"/>
  <c r="EC64" i="1" s="1"/>
  <c r="DZ72" i="1"/>
  <c r="ED63" i="1"/>
  <c r="CM63" i="1" s="1"/>
  <c r="DY65" i="1" l="1"/>
  <c r="EC65" i="1" s="1"/>
  <c r="DX66" i="1"/>
  <c r="ED65" i="1"/>
  <c r="CM65" i="1" s="1"/>
  <c r="EA67" i="1"/>
  <c r="EB66" i="1"/>
  <c r="ED64" i="1"/>
  <c r="CM64" i="1" s="1"/>
  <c r="DA58" i="1"/>
  <c r="CN59" i="1"/>
  <c r="DZ73" i="1"/>
  <c r="CX70" i="1"/>
  <c r="CY70" i="1" s="1"/>
  <c r="DB58" i="1"/>
  <c r="CP59" i="1" l="1"/>
  <c r="CU59" i="1" s="1"/>
  <c r="CV59" i="1"/>
  <c r="CX59" i="1" s="1"/>
  <c r="CY59" i="1" s="1"/>
  <c r="DC58" i="1"/>
  <c r="EA68" i="1"/>
  <c r="EB67" i="1"/>
  <c r="DZ74" i="1"/>
  <c r="DX67" i="1"/>
  <c r="DY66" i="1"/>
  <c r="EC66" i="1" s="1"/>
  <c r="DE58" i="1"/>
  <c r="CL59" i="1" s="1"/>
  <c r="DJ59" i="1" s="1"/>
  <c r="ED66" i="1" l="1"/>
  <c r="CM66" i="1" s="1"/>
  <c r="CW59" i="1"/>
  <c r="CZ59" i="1" s="1"/>
  <c r="EA69" i="1"/>
  <c r="EB68" i="1"/>
  <c r="DX68" i="1"/>
  <c r="DY67" i="1"/>
  <c r="EC67" i="1" s="1"/>
  <c r="DZ75" i="1"/>
  <c r="DD59" i="1"/>
  <c r="DF59" i="1" s="1"/>
  <c r="DZ76" i="1" l="1"/>
  <c r="DX69" i="1"/>
  <c r="DY68" i="1"/>
  <c r="EC68" i="1" s="1"/>
  <c r="ED68" i="1"/>
  <c r="CM68" i="1" s="1"/>
  <c r="EA70" i="1"/>
  <c r="EB69" i="1"/>
  <c r="ED67" i="1"/>
  <c r="CM67" i="1" s="1"/>
  <c r="CN60" i="1"/>
  <c r="DA59" i="1"/>
  <c r="CX71" i="1"/>
  <c r="CY71" i="1" s="1"/>
  <c r="DB59" i="1"/>
  <c r="EA71" i="1" l="1"/>
  <c r="EB70" i="1"/>
  <c r="CV60" i="1"/>
  <c r="CX60" i="1" s="1"/>
  <c r="CY60" i="1" s="1"/>
  <c r="DC59" i="1"/>
  <c r="DY69" i="1"/>
  <c r="EC69" i="1" s="1"/>
  <c r="DX70" i="1"/>
  <c r="CP60" i="1"/>
  <c r="CU60" i="1" s="1"/>
  <c r="DZ77" i="1"/>
  <c r="DE59" i="1"/>
  <c r="CL60" i="1" s="1"/>
  <c r="DJ60" i="1" s="1"/>
  <c r="CW60" i="1" l="1"/>
  <c r="CZ60" i="1" s="1"/>
  <c r="DX71" i="1"/>
  <c r="DY70" i="1"/>
  <c r="EC70" i="1" s="1"/>
  <c r="ED69" i="1"/>
  <c r="CM69" i="1" s="1"/>
  <c r="DZ78" i="1"/>
  <c r="DD60" i="1"/>
  <c r="EA72" i="1"/>
  <c r="EB71" i="1"/>
  <c r="DZ79" i="1" l="1"/>
  <c r="DX72" i="1"/>
  <c r="DY71" i="1"/>
  <c r="EC71" i="1" s="1"/>
  <c r="EA73" i="1"/>
  <c r="EB72" i="1"/>
  <c r="DA60" i="1"/>
  <c r="CN61" i="1"/>
  <c r="ED70" i="1"/>
  <c r="CM70" i="1" s="1"/>
  <c r="CX72" i="1"/>
  <c r="CY72" i="1" s="1"/>
  <c r="DB60" i="1"/>
  <c r="ED71" i="1" l="1"/>
  <c r="CM71" i="1" s="1"/>
  <c r="EA74" i="1"/>
  <c r="EB73" i="1"/>
  <c r="CV61" i="1"/>
  <c r="CX61" i="1" s="1"/>
  <c r="CY61" i="1" s="1"/>
  <c r="DC60" i="1"/>
  <c r="DX73" i="1"/>
  <c r="DY72" i="1"/>
  <c r="EC72" i="1" s="1"/>
  <c r="CP61" i="1"/>
  <c r="CU61" i="1" s="1"/>
  <c r="DE60" i="1"/>
  <c r="CL61" i="1" s="1"/>
  <c r="DJ61" i="1" s="1"/>
  <c r="DZ80" i="1"/>
  <c r="CW61" i="1" l="1"/>
  <c r="CX73" i="1" s="1"/>
  <c r="CY73" i="1" s="1"/>
  <c r="DX74" i="1"/>
  <c r="DY73" i="1"/>
  <c r="EC73" i="1" s="1"/>
  <c r="DZ81" i="1"/>
  <c r="DB61" i="1"/>
  <c r="DD61" i="1"/>
  <c r="DF61" i="1" s="1"/>
  <c r="EA75" i="1"/>
  <c r="EB74" i="1"/>
  <c r="ED72" i="1"/>
  <c r="CM72" i="1" s="1"/>
  <c r="DC61" i="1" l="1"/>
  <c r="CV62" i="1"/>
  <c r="CX62" i="1" s="1"/>
  <c r="CY62" i="1" s="1"/>
  <c r="DZ82" i="1"/>
  <c r="DY74" i="1"/>
  <c r="EC74" i="1" s="1"/>
  <c r="DX75" i="1"/>
  <c r="EA76" i="1"/>
  <c r="EB75" i="1"/>
  <c r="ED73" i="1"/>
  <c r="CM73" i="1" s="1"/>
  <c r="CZ61" i="1"/>
  <c r="ED74" i="1" l="1"/>
  <c r="CM74" i="1" s="1"/>
  <c r="DZ83" i="1"/>
  <c r="DX76" i="1"/>
  <c r="DY75" i="1"/>
  <c r="EC75" i="1" s="1"/>
  <c r="DE61" i="1"/>
  <c r="CL62" i="1" s="1"/>
  <c r="DJ62" i="1" s="1"/>
  <c r="CN62" i="1"/>
  <c r="DA61" i="1"/>
  <c r="EA77" i="1"/>
  <c r="EB76" i="1"/>
  <c r="CP62" i="1" l="1"/>
  <c r="CU62" i="1" s="1"/>
  <c r="DD62" i="1"/>
  <c r="DX77" i="1"/>
  <c r="DY76" i="1"/>
  <c r="EC76" i="1" s="1"/>
  <c r="ED75" i="1"/>
  <c r="CM75" i="1" s="1"/>
  <c r="DZ84" i="1"/>
  <c r="EA78" i="1"/>
  <c r="EB77" i="1"/>
  <c r="DZ85" i="1" l="1"/>
  <c r="ED76" i="1"/>
  <c r="CM76" i="1" s="1"/>
  <c r="EA79" i="1"/>
  <c r="EB78" i="1"/>
  <c r="CW62" i="1"/>
  <c r="DX78" i="1"/>
  <c r="DY77" i="1"/>
  <c r="EC77" i="1" s="1"/>
  <c r="ED77" i="1" l="1"/>
  <c r="CM77" i="1" s="1"/>
  <c r="CX74" i="1"/>
  <c r="CY74" i="1" s="1"/>
  <c r="DB62" i="1"/>
  <c r="CZ62" i="1"/>
  <c r="EA80" i="1"/>
  <c r="EB79" i="1"/>
  <c r="DZ86" i="1"/>
  <c r="DX79" i="1"/>
  <c r="DY78" i="1"/>
  <c r="EC78" i="1" s="1"/>
  <c r="ED78" i="1" l="1"/>
  <c r="CM78" i="1" s="1"/>
  <c r="EA81" i="1"/>
  <c r="EB80" i="1"/>
  <c r="DZ87" i="1"/>
  <c r="DE62" i="1"/>
  <c r="CL63" i="1" s="1"/>
  <c r="DJ63" i="1" s="1"/>
  <c r="CN63" i="1"/>
  <c r="DA62" i="1"/>
  <c r="CV63" i="1"/>
  <c r="CX63" i="1" s="1"/>
  <c r="CY63" i="1" s="1"/>
  <c r="DC62" i="1"/>
  <c r="DY79" i="1"/>
  <c r="EC79" i="1" s="1"/>
  <c r="DX80" i="1"/>
  <c r="DX81" i="1" l="1"/>
  <c r="DY80" i="1"/>
  <c r="EC80" i="1" s="1"/>
  <c r="DZ88" i="1"/>
  <c r="ED80" i="1"/>
  <c r="CM80" i="1" s="1"/>
  <c r="DD63" i="1"/>
  <c r="DF63" i="1" s="1"/>
  <c r="CP63" i="1"/>
  <c r="CU63" i="1" s="1"/>
  <c r="ED79" i="1"/>
  <c r="CM79" i="1" s="1"/>
  <c r="EA82" i="1"/>
  <c r="EB81" i="1"/>
  <c r="DZ89" i="1" l="1"/>
  <c r="CW63" i="1"/>
  <c r="CZ63" i="1" s="1"/>
  <c r="EA83" i="1"/>
  <c r="EB82" i="1"/>
  <c r="DY81" i="1"/>
  <c r="EC81" i="1" s="1"/>
  <c r="DX82" i="1"/>
  <c r="EA84" i="1" l="1"/>
  <c r="EB83" i="1"/>
  <c r="DA63" i="1"/>
  <c r="CN64" i="1"/>
  <c r="DZ90" i="1"/>
  <c r="CX75" i="1"/>
  <c r="CY75" i="1" s="1"/>
  <c r="DB63" i="1"/>
  <c r="DE63" i="1" s="1"/>
  <c r="CL64" i="1" s="1"/>
  <c r="DJ64" i="1" s="1"/>
  <c r="DX83" i="1"/>
  <c r="DY82" i="1"/>
  <c r="EC82" i="1" s="1"/>
  <c r="ED81" i="1"/>
  <c r="CM81" i="1" s="1"/>
  <c r="ED82" i="1" l="1"/>
  <c r="CM82" i="1" s="1"/>
  <c r="DX84" i="1"/>
  <c r="DY83" i="1"/>
  <c r="EC83" i="1" s="1"/>
  <c r="DZ91" i="1"/>
  <c r="DC63" i="1"/>
  <c r="CV64" i="1"/>
  <c r="CX64" i="1" s="1"/>
  <c r="CY64" i="1" s="1"/>
  <c r="ED83" i="1"/>
  <c r="CM83" i="1" s="1"/>
  <c r="CP64" i="1"/>
  <c r="CU64" i="1" s="1"/>
  <c r="EA85" i="1"/>
  <c r="EB84" i="1"/>
  <c r="DD64" i="1" l="1"/>
  <c r="CW64" i="1"/>
  <c r="CX76" i="1" s="1"/>
  <c r="CY76" i="1" s="1"/>
  <c r="EA86" i="1"/>
  <c r="EB85" i="1"/>
  <c r="DZ92" i="1"/>
  <c r="DX85" i="1"/>
  <c r="DY84" i="1"/>
  <c r="EC84" i="1" s="1"/>
  <c r="CZ64" i="1" l="1"/>
  <c r="DY85" i="1"/>
  <c r="EC85" i="1" s="1"/>
  <c r="DX86" i="1"/>
  <c r="DB64" i="1"/>
  <c r="DZ93" i="1"/>
  <c r="EA87" i="1"/>
  <c r="EB86" i="1"/>
  <c r="ED84" i="1"/>
  <c r="CM84" i="1" s="1"/>
  <c r="EA88" i="1" l="1"/>
  <c r="EB87" i="1"/>
  <c r="DZ94" i="1"/>
  <c r="CV65" i="1"/>
  <c r="CX65" i="1" s="1"/>
  <c r="CY65" i="1" s="1"/>
  <c r="DC64" i="1"/>
  <c r="DY86" i="1"/>
  <c r="EC86" i="1" s="1"/>
  <c r="DX87" i="1"/>
  <c r="CN65" i="1"/>
  <c r="DE64" i="1"/>
  <c r="CL65" i="1" s="1"/>
  <c r="DJ65" i="1" s="1"/>
  <c r="DA64" i="1"/>
  <c r="ED85" i="1"/>
  <c r="CM85" i="1" s="1"/>
  <c r="ED86" i="1" l="1"/>
  <c r="CM86" i="1" s="1"/>
  <c r="DZ95" i="1"/>
  <c r="DD65" i="1"/>
  <c r="DF65" i="1" s="1"/>
  <c r="CP65" i="1"/>
  <c r="CU65" i="1" s="1"/>
  <c r="DX88" i="1"/>
  <c r="DY87" i="1"/>
  <c r="EC87" i="1" s="1"/>
  <c r="EA89" i="1"/>
  <c r="EB88" i="1"/>
  <c r="ED87" i="1" l="1"/>
  <c r="CM87" i="1" s="1"/>
  <c r="DX89" i="1"/>
  <c r="DY88" i="1"/>
  <c r="EC88" i="1" s="1"/>
  <c r="CW65" i="1"/>
  <c r="ED88" i="1"/>
  <c r="CM88" i="1" s="1"/>
  <c r="DZ96" i="1"/>
  <c r="EA90" i="1"/>
  <c r="EB89" i="1"/>
  <c r="EA91" i="1" l="1"/>
  <c r="EB90" i="1"/>
  <c r="DZ97" i="1"/>
  <c r="CX77" i="1"/>
  <c r="CY77" i="1" s="1"/>
  <c r="DB65" i="1"/>
  <c r="CZ65" i="1"/>
  <c r="DY89" i="1"/>
  <c r="EC89" i="1" s="1"/>
  <c r="DX90" i="1"/>
  <c r="ED89" i="1" l="1"/>
  <c r="CM89" i="1" s="1"/>
  <c r="DA65" i="1"/>
  <c r="CN66" i="1"/>
  <c r="DE65" i="1"/>
  <c r="CL66" i="1" s="1"/>
  <c r="DJ66" i="1" s="1"/>
  <c r="CV66" i="1"/>
  <c r="CX66" i="1" s="1"/>
  <c r="CY66" i="1" s="1"/>
  <c r="DC65" i="1"/>
  <c r="DZ98" i="1"/>
  <c r="DY90" i="1"/>
  <c r="EC90" i="1" s="1"/>
  <c r="DX91" i="1"/>
  <c r="ED90" i="1"/>
  <c r="CM90" i="1" s="1"/>
  <c r="EA92" i="1"/>
  <c r="EB91" i="1"/>
  <c r="DZ99" i="1" l="1"/>
  <c r="EA93" i="1"/>
  <c r="EB92" i="1"/>
  <c r="DX92" i="1"/>
  <c r="DY91" i="1"/>
  <c r="EC91" i="1" s="1"/>
  <c r="DD66" i="1"/>
  <c r="CP66" i="1"/>
  <c r="CU66" i="1" s="1"/>
  <c r="CW66" i="1" l="1"/>
  <c r="DY92" i="1"/>
  <c r="EC92" i="1" s="1"/>
  <c r="DX93" i="1"/>
  <c r="ED92" i="1"/>
  <c r="CM92" i="1" s="1"/>
  <c r="EA94" i="1"/>
  <c r="EB93" i="1"/>
  <c r="ED91" i="1"/>
  <c r="CM91" i="1" s="1"/>
  <c r="DZ100" i="1"/>
  <c r="EA95" i="1" l="1"/>
  <c r="EB94" i="1"/>
  <c r="DX94" i="1"/>
  <c r="DY93" i="1"/>
  <c r="EC93" i="1" s="1"/>
  <c r="CX78" i="1"/>
  <c r="CY78" i="1" s="1"/>
  <c r="DB66" i="1"/>
  <c r="DZ101" i="1"/>
  <c r="CZ66" i="1"/>
  <c r="CV67" i="1" l="1"/>
  <c r="CX67" i="1" s="1"/>
  <c r="CY67" i="1" s="1"/>
  <c r="DC66" i="1"/>
  <c r="DX95" i="1"/>
  <c r="DY94" i="1"/>
  <c r="EC94" i="1" s="1"/>
  <c r="ED94" i="1"/>
  <c r="CM94" i="1" s="1"/>
  <c r="DA66" i="1"/>
  <c r="DE66" i="1"/>
  <c r="CL67" i="1" s="1"/>
  <c r="DJ67" i="1" s="1"/>
  <c r="CN67" i="1"/>
  <c r="EA96" i="1"/>
  <c r="EB95" i="1"/>
  <c r="DZ102" i="1"/>
  <c r="ED93" i="1"/>
  <c r="CM93" i="1" s="1"/>
  <c r="DZ103" i="1" l="1"/>
  <c r="DY95" i="1"/>
  <c r="EC95" i="1" s="1"/>
  <c r="DX96" i="1"/>
  <c r="ED95" i="1"/>
  <c r="CM95" i="1" s="1"/>
  <c r="EA97" i="1"/>
  <c r="EB96" i="1"/>
  <c r="DD67" i="1"/>
  <c r="DF67" i="1" s="1"/>
  <c r="CP67" i="1"/>
  <c r="CU67" i="1" s="1"/>
  <c r="CW67" i="1" l="1"/>
  <c r="EA98" i="1"/>
  <c r="EB97" i="1"/>
  <c r="DX97" i="1"/>
  <c r="DY96" i="1"/>
  <c r="EC96" i="1" s="1"/>
  <c r="DZ104" i="1"/>
  <c r="DY97" i="1" l="1"/>
  <c r="EC97" i="1" s="1"/>
  <c r="DX98" i="1"/>
  <c r="ED97" i="1"/>
  <c r="CM97" i="1" s="1"/>
  <c r="EA99" i="1"/>
  <c r="EB98" i="1"/>
  <c r="ED96" i="1"/>
  <c r="CM96" i="1" s="1"/>
  <c r="CX79" i="1"/>
  <c r="CY79" i="1" s="1"/>
  <c r="DB67" i="1"/>
  <c r="CZ67" i="1"/>
  <c r="EA100" i="1" l="1"/>
  <c r="EB99" i="1"/>
  <c r="DX99" i="1"/>
  <c r="DY98" i="1"/>
  <c r="EC98" i="1" s="1"/>
  <c r="DA67" i="1"/>
  <c r="CN68" i="1"/>
  <c r="DE67" i="1"/>
  <c r="CL68" i="1" s="1"/>
  <c r="DJ68" i="1" s="1"/>
  <c r="CV68" i="1"/>
  <c r="CX68" i="1" s="1"/>
  <c r="CY68" i="1" s="1"/>
  <c r="DC67" i="1"/>
  <c r="CP68" i="1" l="1"/>
  <c r="CU68" i="1"/>
  <c r="DD68" i="1"/>
  <c r="DX100" i="1"/>
  <c r="DY99" i="1"/>
  <c r="EC99" i="1" s="1"/>
  <c r="ED99" i="1"/>
  <c r="CM99" i="1" s="1"/>
  <c r="EA101" i="1"/>
  <c r="EB100" i="1"/>
  <c r="ED98" i="1"/>
  <c r="CM98" i="1" s="1"/>
  <c r="EA102" i="1" l="1"/>
  <c r="EB101" i="1"/>
  <c r="DY100" i="1"/>
  <c r="EC100" i="1" s="1"/>
  <c r="DX101" i="1"/>
  <c r="CW68" i="1"/>
  <c r="CX80" i="1" l="1"/>
  <c r="CY80" i="1" s="1"/>
  <c r="DB68" i="1"/>
  <c r="CZ68" i="1"/>
  <c r="DY101" i="1"/>
  <c r="EC101" i="1" s="1"/>
  <c r="DX102" i="1"/>
  <c r="ED101" i="1"/>
  <c r="CM101" i="1" s="1"/>
  <c r="EA103" i="1"/>
  <c r="EB102" i="1"/>
  <c r="ED100" i="1"/>
  <c r="CM100" i="1" s="1"/>
  <c r="EA104" i="1" l="1"/>
  <c r="EB103" i="1"/>
  <c r="DX103" i="1"/>
  <c r="DY102" i="1"/>
  <c r="EC102" i="1" s="1"/>
  <c r="CN69" i="1"/>
  <c r="DE68" i="1"/>
  <c r="CV69" i="1"/>
  <c r="DC68" i="1"/>
  <c r="DD69" i="1" l="1"/>
  <c r="DF69" i="1" s="1"/>
  <c r="CP69" i="1"/>
  <c r="CU69" i="1" s="1"/>
  <c r="DX104" i="1"/>
  <c r="DY103" i="1"/>
  <c r="EC103" i="1" s="1"/>
  <c r="EA105" i="1"/>
  <c r="EB104" i="1"/>
  <c r="ED102" i="1"/>
  <c r="CM102" i="1" s="1"/>
  <c r="CW69" i="1" l="1"/>
  <c r="DX105" i="1"/>
  <c r="DY104" i="1"/>
  <c r="EC104" i="1" s="1"/>
  <c r="ED104" i="1"/>
  <c r="CM104" i="1" s="1"/>
  <c r="EB105" i="1"/>
  <c r="EA106" i="1"/>
  <c r="EA107" i="1" s="1"/>
  <c r="EA108" i="1" s="1"/>
  <c r="EA109" i="1" s="1"/>
  <c r="EA110" i="1" s="1"/>
  <c r="EA111" i="1" s="1"/>
  <c r="EA112" i="1" s="1"/>
  <c r="EA113" i="1" s="1"/>
  <c r="EA114" i="1" s="1"/>
  <c r="EA115" i="1" s="1"/>
  <c r="EA116" i="1" s="1"/>
  <c r="EA117" i="1" s="1"/>
  <c r="EA118" i="1" s="1"/>
  <c r="EA119" i="1" s="1"/>
  <c r="EA120" i="1" s="1"/>
  <c r="EA121" i="1" s="1"/>
  <c r="EA122" i="1" s="1"/>
  <c r="EA123" i="1" s="1"/>
  <c r="EA124" i="1" s="1"/>
  <c r="EA125" i="1" s="1"/>
  <c r="EA126" i="1" s="1"/>
  <c r="EA127" i="1" s="1"/>
  <c r="EA128" i="1" s="1"/>
  <c r="EA129" i="1" s="1"/>
  <c r="ED103" i="1"/>
  <c r="CM103" i="1" s="1"/>
  <c r="DX106" i="1" l="1"/>
  <c r="DY106" i="1" s="1"/>
  <c r="DY105" i="1"/>
  <c r="EC105" i="1" s="1"/>
  <c r="CX81" i="1"/>
  <c r="CY81" i="1" s="1"/>
  <c r="DB69" i="1"/>
  <c r="CZ69" i="1"/>
  <c r="CN70" i="1" l="1"/>
  <c r="DA69" i="1"/>
  <c r="DH69" i="1"/>
  <c r="DE69" i="1"/>
  <c r="DC69" i="1"/>
  <c r="CV70" i="1"/>
  <c r="EC106" i="1"/>
  <c r="ED106" i="1"/>
  <c r="CM106" i="1" s="1"/>
  <c r="ED105" i="1"/>
  <c r="CM105" i="1" s="1"/>
  <c r="CL69" i="1" l="1"/>
  <c r="DJ69" i="1" s="1"/>
  <c r="DK69" i="1"/>
  <c r="CT74" i="1"/>
  <c r="CS73" i="1"/>
  <c r="CP70" i="1"/>
  <c r="CU70" i="1" s="1"/>
  <c r="DD70" i="1"/>
  <c r="CW70" i="1" l="1"/>
  <c r="CZ70" i="1"/>
  <c r="CN71" i="1" l="1"/>
  <c r="DA70" i="1"/>
  <c r="CX82" i="1"/>
  <c r="CY82" i="1" s="1"/>
  <c r="DB70" i="1"/>
  <c r="CQ71" i="1" l="1"/>
  <c r="CT75" i="1"/>
  <c r="CS74" i="1"/>
  <c r="CV71" i="1"/>
  <c r="DC70" i="1"/>
  <c r="CP71" i="1"/>
  <c r="CU71" i="1" s="1"/>
  <c r="DD71" i="1"/>
  <c r="DF71" i="1" s="1"/>
  <c r="DE70" i="1"/>
  <c r="CL70" i="1" l="1"/>
  <c r="DJ70" i="1" s="1"/>
  <c r="CW71" i="1"/>
  <c r="CZ71" i="1" s="1"/>
  <c r="DG71" i="1" l="1"/>
  <c r="DA71" i="1"/>
  <c r="CN72" i="1"/>
  <c r="CX83" i="1"/>
  <c r="CY83" i="1" s="1"/>
  <c r="DB71" i="1"/>
  <c r="CT76" i="1" l="1"/>
  <c r="CS75" i="1"/>
  <c r="CR72" i="1"/>
  <c r="CQ72" i="1"/>
  <c r="DG72" i="1" s="1"/>
  <c r="CV72" i="1"/>
  <c r="DC71" i="1"/>
  <c r="CP72" i="1"/>
  <c r="DD72" i="1"/>
  <c r="DE71" i="1"/>
  <c r="CU72" i="1" l="1"/>
  <c r="CL71" i="1"/>
  <c r="DJ71" i="1" s="1"/>
  <c r="DI72" i="1"/>
  <c r="CW72" i="1"/>
  <c r="CX84" i="1" l="1"/>
  <c r="CY84" i="1" s="1"/>
  <c r="DB72" i="1"/>
  <c r="CZ72" i="1"/>
  <c r="CN73" i="1" l="1"/>
  <c r="DE72" i="1"/>
  <c r="DA72" i="1"/>
  <c r="CV73" i="1"/>
  <c r="DC72" i="1"/>
  <c r="CL72" i="1" l="1"/>
  <c r="DJ72" i="1" s="1"/>
  <c r="CR73" i="1"/>
  <c r="CT77" i="1"/>
  <c r="CS76" i="1"/>
  <c r="CQ73" i="1"/>
  <c r="DG73" i="1" s="1"/>
  <c r="DD73" i="1"/>
  <c r="DF73" i="1" s="1"/>
  <c r="CP73" i="1"/>
  <c r="CU73" i="1" l="1"/>
  <c r="DI73" i="1"/>
  <c r="CW73" i="1"/>
  <c r="CX85" i="1" l="1"/>
  <c r="CY85" i="1" s="1"/>
  <c r="DB73" i="1"/>
  <c r="CZ73" i="1"/>
  <c r="CN74" i="1" l="1"/>
  <c r="DE73" i="1"/>
  <c r="DA73" i="1"/>
  <c r="CV74" i="1"/>
  <c r="DC73" i="1"/>
  <c r="CL73" i="1" l="1"/>
  <c r="DJ73" i="1" s="1"/>
  <c r="CS77" i="1"/>
  <c r="CT78" i="1"/>
  <c r="CR74" i="1"/>
  <c r="CQ74" i="1"/>
  <c r="DG74" i="1" s="1"/>
  <c r="DD74" i="1"/>
  <c r="CP74" i="1"/>
  <c r="CU74" i="1" l="1"/>
  <c r="DI74" i="1"/>
  <c r="CW74" i="1"/>
  <c r="CZ74" i="1"/>
  <c r="CN75" i="1" l="1"/>
  <c r="DA74" i="1"/>
  <c r="CX86" i="1"/>
  <c r="CY86" i="1" s="1"/>
  <c r="DB74" i="1"/>
  <c r="CQ75" i="1" l="1"/>
  <c r="CS78" i="1"/>
  <c r="CR75" i="1"/>
  <c r="CT79" i="1"/>
  <c r="CV75" i="1"/>
  <c r="DC74" i="1"/>
  <c r="DE74" i="1"/>
  <c r="CL74" i="1" s="1"/>
  <c r="DJ74" i="1" s="1"/>
  <c r="DD75" i="1"/>
  <c r="DF75" i="1" s="1"/>
  <c r="CP75" i="1"/>
  <c r="DG75" i="1" l="1"/>
  <c r="CU75" i="1"/>
  <c r="DI75" i="1"/>
  <c r="CW75" i="1"/>
  <c r="CX87" i="1" s="1"/>
  <c r="CY87" i="1" s="1"/>
  <c r="DB75" i="1"/>
  <c r="CZ75" i="1" l="1"/>
  <c r="CV76" i="1"/>
  <c r="DC75" i="1"/>
  <c r="DE75" i="1"/>
  <c r="CL75" i="1" s="1"/>
  <c r="DJ75" i="1" s="1"/>
  <c r="DA75" i="1"/>
  <c r="CN76" i="1"/>
  <c r="DK75" i="1" l="1"/>
  <c r="CQ76" i="1"/>
  <c r="DG76" i="1" s="1"/>
  <c r="CR76" i="1"/>
  <c r="CS79" i="1"/>
  <c r="CT80" i="1"/>
  <c r="DD76" i="1"/>
  <c r="CP76" i="1"/>
  <c r="CU76" i="1" l="1"/>
  <c r="CW76" i="1" s="1"/>
  <c r="DI76" i="1"/>
  <c r="CX88" i="1" l="1"/>
  <c r="CY88" i="1" s="1"/>
  <c r="DB76" i="1"/>
  <c r="CZ76" i="1"/>
  <c r="DE76" i="1" l="1"/>
  <c r="DA76" i="1"/>
  <c r="CN77" i="1"/>
  <c r="DC76" i="1"/>
  <c r="CV77" i="1"/>
  <c r="CL76" i="1" l="1"/>
  <c r="DJ76" i="1" s="1"/>
  <c r="CT81" i="1"/>
  <c r="CS80" i="1"/>
  <c r="CR77" i="1"/>
  <c r="CQ77" i="1"/>
  <c r="DG77" i="1" s="1"/>
  <c r="DD77" i="1"/>
  <c r="DF77" i="1" s="1"/>
  <c r="CP77" i="1"/>
  <c r="CU77" i="1" l="1"/>
  <c r="DI77" i="1"/>
  <c r="CW77" i="1"/>
  <c r="CX89" i="1" l="1"/>
  <c r="CY89" i="1" s="1"/>
  <c r="DB77" i="1"/>
  <c r="CZ77" i="1"/>
  <c r="CN78" i="1" l="1"/>
  <c r="DA77" i="1"/>
  <c r="DH77" i="1"/>
  <c r="DE77" i="1"/>
  <c r="DC77" i="1"/>
  <c r="CV78" i="1"/>
  <c r="CL77" i="1" l="1"/>
  <c r="DJ77" i="1" s="1"/>
  <c r="CS81" i="1"/>
  <c r="CQ78" i="1"/>
  <c r="DG78" i="1" s="1"/>
  <c r="CR78" i="1"/>
  <c r="CT82" i="1"/>
  <c r="CP78" i="1"/>
  <c r="DD78" i="1"/>
  <c r="CU78" i="1" l="1"/>
  <c r="DI78" i="1"/>
  <c r="CW78" i="1"/>
  <c r="CX90" i="1" l="1"/>
  <c r="CY90" i="1" s="1"/>
  <c r="DB78" i="1"/>
  <c r="CZ78" i="1"/>
  <c r="DA78" i="1" l="1"/>
  <c r="CN79" i="1"/>
  <c r="DE78" i="1"/>
  <c r="CV79" i="1"/>
  <c r="DC78" i="1"/>
  <c r="CL78" i="1" l="1"/>
  <c r="DJ78" i="1" s="1"/>
  <c r="CT83" i="1"/>
  <c r="CS82" i="1"/>
  <c r="CR79" i="1"/>
  <c r="CQ79" i="1"/>
  <c r="DG79" i="1" s="1"/>
  <c r="CP79" i="1"/>
  <c r="DD79" i="1"/>
  <c r="DF79" i="1" s="1"/>
  <c r="CU79" i="1" l="1"/>
  <c r="CW79" i="1" s="1"/>
  <c r="DI79" i="1"/>
  <c r="CX91" i="1" l="1"/>
  <c r="CY91" i="1" s="1"/>
  <c r="DB79" i="1"/>
  <c r="CZ79" i="1"/>
  <c r="CN80" i="1" l="1"/>
  <c r="DE79" i="1"/>
  <c r="DA79" i="1"/>
  <c r="DC79" i="1"/>
  <c r="CV80" i="1"/>
  <c r="CL79" i="1" l="1"/>
  <c r="DJ79" i="1" s="1"/>
  <c r="CQ80" i="1"/>
  <c r="DG80" i="1" s="1"/>
  <c r="CR80" i="1"/>
  <c r="CS83" i="1"/>
  <c r="CT84" i="1"/>
  <c r="CP80" i="1"/>
  <c r="DD80" i="1"/>
  <c r="CU80" i="1" l="1"/>
  <c r="DI80" i="1"/>
  <c r="CW80" i="1"/>
  <c r="CZ80" i="1" s="1"/>
  <c r="CN81" i="1" l="1"/>
  <c r="DA80" i="1"/>
  <c r="CX92" i="1"/>
  <c r="CY92" i="1" s="1"/>
  <c r="DB80" i="1"/>
  <c r="CQ81" i="1" l="1"/>
  <c r="CR81" i="1"/>
  <c r="CT85" i="1"/>
  <c r="CS84" i="1"/>
  <c r="CV81" i="1"/>
  <c r="DC80" i="1"/>
  <c r="DD81" i="1"/>
  <c r="DF81" i="1" s="1"/>
  <c r="CP81" i="1"/>
  <c r="DE80" i="1"/>
  <c r="CL80" i="1" s="1"/>
  <c r="DJ80" i="1" s="1"/>
  <c r="DG81" i="1" l="1"/>
  <c r="DI81" i="1"/>
  <c r="CU81" i="1"/>
  <c r="CW81" i="1" s="1"/>
  <c r="CX93" i="1" l="1"/>
  <c r="CY93" i="1" s="1"/>
  <c r="DB81" i="1"/>
  <c r="CZ81" i="1"/>
  <c r="DE81" i="1" l="1"/>
  <c r="CL81" i="1" s="1"/>
  <c r="DJ81" i="1" s="1"/>
  <c r="DA81" i="1"/>
  <c r="CN82" i="1"/>
  <c r="CV82" i="1"/>
  <c r="DC81" i="1"/>
  <c r="DK81" i="1" l="1"/>
  <c r="CR82" i="1"/>
  <c r="CQ82" i="1"/>
  <c r="DG82" i="1" s="1"/>
  <c r="CS85" i="1"/>
  <c r="CT86" i="1"/>
  <c r="DD82" i="1"/>
  <c r="CP82" i="1"/>
  <c r="CU82" i="1" l="1"/>
  <c r="DI82" i="1"/>
  <c r="CW82" i="1"/>
  <c r="CX94" i="1" l="1"/>
  <c r="CY94" i="1" s="1"/>
  <c r="DB82" i="1"/>
  <c r="CZ82" i="1"/>
  <c r="DE82" i="1" l="1"/>
  <c r="DA82" i="1"/>
  <c r="CN83" i="1"/>
  <c r="DC82" i="1"/>
  <c r="CV83" i="1"/>
  <c r="CL82" i="1" l="1"/>
  <c r="DJ82" i="1" s="1"/>
  <c r="CT87" i="1"/>
  <c r="CQ83" i="1"/>
  <c r="DG83" i="1" s="1"/>
  <c r="CR83" i="1"/>
  <c r="CS86" i="1"/>
  <c r="DD83" i="1"/>
  <c r="DF83" i="1" s="1"/>
  <c r="CP83" i="1"/>
  <c r="CU83" i="1" l="1"/>
  <c r="DI83" i="1"/>
  <c r="CW83" i="1"/>
  <c r="CZ83" i="1" s="1"/>
  <c r="DA83" i="1" l="1"/>
  <c r="CN84" i="1"/>
  <c r="CX95" i="1"/>
  <c r="CY95" i="1" s="1"/>
  <c r="DB83" i="1"/>
  <c r="CS87" i="1" l="1"/>
  <c r="CQ84" i="1"/>
  <c r="DG84" i="1" s="1"/>
  <c r="CT88" i="1"/>
  <c r="CR84" i="1"/>
  <c r="DC83" i="1"/>
  <c r="CV84" i="1"/>
  <c r="CP84" i="1"/>
  <c r="DD84" i="1"/>
  <c r="CU84" i="1"/>
  <c r="DE83" i="1"/>
  <c r="CL83" i="1" l="1"/>
  <c r="DJ83" i="1" s="1"/>
  <c r="DI84" i="1"/>
  <c r="CW84" i="1"/>
  <c r="CX96" i="1" s="1"/>
  <c r="CY96" i="1" s="1"/>
  <c r="CZ84" i="1" l="1"/>
  <c r="DB84" i="1"/>
  <c r="CV85" i="1" l="1"/>
  <c r="DC84" i="1"/>
  <c r="DA84" i="1"/>
  <c r="CN85" i="1"/>
  <c r="DE84" i="1"/>
  <c r="CL84" i="1" l="1"/>
  <c r="DJ84" i="1" s="1"/>
  <c r="CQ85" i="1"/>
  <c r="DG85" i="1" s="1"/>
  <c r="CR85" i="1"/>
  <c r="CS88" i="1"/>
  <c r="CT89" i="1"/>
  <c r="DD85" i="1"/>
  <c r="DF85" i="1" s="1"/>
  <c r="CP85" i="1"/>
  <c r="CU85" i="1" l="1"/>
  <c r="DI85" i="1"/>
  <c r="CW85" i="1"/>
  <c r="CZ85" i="1"/>
  <c r="CN86" i="1" l="1"/>
  <c r="DA85" i="1"/>
  <c r="CX97" i="1"/>
  <c r="CY97" i="1" s="1"/>
  <c r="DB85" i="1"/>
  <c r="CQ86" i="1" l="1"/>
  <c r="DG86" i="1" s="1"/>
  <c r="CR86" i="1"/>
  <c r="CT90" i="1"/>
  <c r="CS89" i="1"/>
  <c r="CV86" i="1"/>
  <c r="DC85" i="1"/>
  <c r="DD86" i="1"/>
  <c r="CP86" i="1"/>
  <c r="DE85" i="1"/>
  <c r="CU86" i="1" l="1"/>
  <c r="CL85" i="1"/>
  <c r="DJ85" i="1" s="1"/>
  <c r="DI86" i="1"/>
  <c r="CW86" i="1"/>
  <c r="CX98" i="1" l="1"/>
  <c r="CY98" i="1" s="1"/>
  <c r="DB86" i="1"/>
  <c r="CZ86" i="1"/>
  <c r="CN87" i="1" l="1"/>
  <c r="DA86" i="1"/>
  <c r="DE86" i="1"/>
  <c r="CL86" i="1" s="1"/>
  <c r="DJ86" i="1" s="1"/>
  <c r="CV87" i="1"/>
  <c r="DC86" i="1"/>
  <c r="CQ87" i="1" l="1"/>
  <c r="DG87" i="1" s="1"/>
  <c r="CR87" i="1"/>
  <c r="CS90" i="1"/>
  <c r="CT91" i="1"/>
  <c r="DD87" i="1"/>
  <c r="DF87" i="1" s="1"/>
  <c r="CP87" i="1"/>
  <c r="CU87" i="1" l="1"/>
  <c r="DI87" i="1"/>
  <c r="CW87" i="1"/>
  <c r="CZ87" i="1"/>
  <c r="CN88" i="1" l="1"/>
  <c r="DH87" i="1"/>
  <c r="DA87" i="1"/>
  <c r="CX99" i="1"/>
  <c r="CY99" i="1" s="1"/>
  <c r="DB87" i="1"/>
  <c r="CR88" i="1" l="1"/>
  <c r="CQ88" i="1"/>
  <c r="DG88" i="1" s="1"/>
  <c r="CV88" i="1"/>
  <c r="DC87" i="1"/>
  <c r="DE87" i="1"/>
  <c r="CL87" i="1" s="1"/>
  <c r="DJ87" i="1" s="1"/>
  <c r="DD88" i="1"/>
  <c r="CP88" i="1"/>
  <c r="CS91" i="1"/>
  <c r="CT92" i="1"/>
  <c r="DK87" i="1" l="1"/>
  <c r="DI88" i="1"/>
  <c r="CU88" i="1"/>
  <c r="CW88" i="1" l="1"/>
  <c r="CZ88" i="1" s="1"/>
  <c r="CN89" i="1" l="1"/>
  <c r="DA88" i="1"/>
  <c r="CX100" i="1"/>
  <c r="CY100" i="1" s="1"/>
  <c r="DB88" i="1"/>
  <c r="CS92" i="1" l="1"/>
  <c r="CT93" i="1"/>
  <c r="CR89" i="1"/>
  <c r="DC88" i="1"/>
  <c r="CV89" i="1"/>
  <c r="CP89" i="1"/>
  <c r="DD89" i="1"/>
  <c r="DF89" i="1" s="1"/>
  <c r="CQ89" i="1"/>
  <c r="DE88" i="1"/>
  <c r="CL88" i="1" l="1"/>
  <c r="DJ88" i="1" s="1"/>
  <c r="DI89" i="1"/>
  <c r="CU89" i="1"/>
  <c r="DG89" i="1" l="1"/>
  <c r="CW89" i="1"/>
  <c r="CX101" i="1" l="1"/>
  <c r="CY101" i="1" s="1"/>
  <c r="DB89" i="1"/>
  <c r="CZ89" i="1"/>
  <c r="DE89" i="1" l="1"/>
  <c r="CN90" i="1"/>
  <c r="DA89" i="1"/>
  <c r="DC89" i="1"/>
  <c r="CV90" i="1"/>
  <c r="CL89" i="1" l="1"/>
  <c r="DJ89" i="1" s="1"/>
  <c r="CS93" i="1"/>
  <c r="CT94" i="1"/>
  <c r="CQ90" i="1"/>
  <c r="DG90" i="1" s="1"/>
  <c r="CP90" i="1"/>
  <c r="DD90" i="1"/>
  <c r="CR90" i="1"/>
  <c r="CU90" i="1" l="1"/>
  <c r="CW90" i="1"/>
  <c r="DI90" i="1"/>
  <c r="CX102" i="1" l="1"/>
  <c r="CY102" i="1" s="1"/>
  <c r="DB90" i="1"/>
  <c r="CZ90" i="1"/>
  <c r="CN91" i="1" l="1"/>
  <c r="DA90" i="1"/>
  <c r="DE90" i="1"/>
  <c r="CV91" i="1"/>
  <c r="DC90" i="1"/>
  <c r="CL90" i="1" l="1"/>
  <c r="DJ90" i="1" s="1"/>
  <c r="CR91" i="1"/>
  <c r="CQ91" i="1"/>
  <c r="DG91" i="1" s="1"/>
  <c r="CT95" i="1"/>
  <c r="CS94" i="1"/>
  <c r="DD91" i="1"/>
  <c r="DF91" i="1" s="1"/>
  <c r="CP91" i="1"/>
  <c r="CU91" i="1" l="1"/>
  <c r="CW91" i="1" s="1"/>
  <c r="CZ91" i="1" s="1"/>
  <c r="DI91" i="1"/>
  <c r="CN92" i="1" l="1"/>
  <c r="DA91" i="1"/>
  <c r="CX103" i="1"/>
  <c r="CY103" i="1" s="1"/>
  <c r="DB91" i="1"/>
  <c r="CS95" i="1" l="1"/>
  <c r="CQ92" i="1"/>
  <c r="DG92" i="1" s="1"/>
  <c r="CR92" i="1"/>
  <c r="CT96" i="1"/>
  <c r="DC91" i="1"/>
  <c r="CV92" i="1"/>
  <c r="CP92" i="1"/>
  <c r="DD92" i="1"/>
  <c r="DE91" i="1"/>
  <c r="CU92" i="1" l="1"/>
  <c r="CL91" i="1"/>
  <c r="DJ91" i="1" s="1"/>
  <c r="DI92" i="1"/>
  <c r="CW92" i="1"/>
  <c r="CZ92" i="1" s="1"/>
  <c r="DA92" i="1" l="1"/>
  <c r="CN93" i="1"/>
  <c r="CX104" i="1"/>
  <c r="CY104" i="1" s="1"/>
  <c r="DB92" i="1"/>
  <c r="CR93" i="1" l="1"/>
  <c r="CQ93" i="1"/>
  <c r="DG93" i="1" s="1"/>
  <c r="DC92" i="1"/>
  <c r="CV93" i="1"/>
  <c r="DD93" i="1"/>
  <c r="DF93" i="1" s="1"/>
  <c r="CP93" i="1"/>
  <c r="DE92" i="1"/>
  <c r="CL92" i="1" s="1"/>
  <c r="DJ92" i="1" s="1"/>
  <c r="CU93" i="1" l="1"/>
  <c r="DI93" i="1"/>
  <c r="CW93" i="1"/>
  <c r="CX105" i="1" s="1"/>
  <c r="CY105" i="1" s="1"/>
  <c r="DB93" i="1"/>
  <c r="DC93" i="1" l="1"/>
  <c r="CV94" i="1"/>
  <c r="CZ93" i="1"/>
  <c r="DA93" i="1" l="1"/>
  <c r="CN94" i="1"/>
  <c r="DE93" i="1"/>
  <c r="CL93" i="1" s="1"/>
  <c r="DJ93" i="1" s="1"/>
  <c r="DK93" i="1" l="1"/>
  <c r="CR94" i="1"/>
  <c r="CS97" i="1"/>
  <c r="CT98" i="1"/>
  <c r="CP94" i="1"/>
  <c r="CU94" i="1" s="1"/>
  <c r="DD94" i="1"/>
  <c r="DI94" i="1" l="1"/>
  <c r="CW94" i="1"/>
  <c r="CZ94" i="1" s="1"/>
  <c r="DA94" i="1" l="1"/>
  <c r="CN95" i="1"/>
  <c r="CQ95" i="1" s="1"/>
  <c r="CX106" i="1"/>
  <c r="CY106" i="1" s="1"/>
  <c r="DB94" i="1"/>
  <c r="CV95" i="1" l="1"/>
  <c r="DC94" i="1"/>
  <c r="CP95" i="1"/>
  <c r="DD95" i="1"/>
  <c r="DF95" i="1" s="1"/>
  <c r="CU95" i="1"/>
  <c r="DE94" i="1"/>
  <c r="CL94" i="1" l="1"/>
  <c r="CW95" i="1"/>
  <c r="DJ94" i="1" l="1"/>
  <c r="DG95" i="1"/>
  <c r="CX107" i="1"/>
  <c r="CY107" i="1" s="1"/>
  <c r="DB95" i="1"/>
  <c r="CZ95" i="1"/>
  <c r="CV96" i="1" l="1"/>
  <c r="DC95" i="1"/>
  <c r="CN96" i="1"/>
  <c r="CR96" i="1" s="1"/>
  <c r="DE95" i="1"/>
  <c r="DA95" i="1"/>
  <c r="CL95" i="1" l="1"/>
  <c r="DJ95" i="1" s="1"/>
  <c r="CP96" i="1"/>
  <c r="DI96" i="1" s="1"/>
  <c r="DD96" i="1"/>
  <c r="CU96" i="1"/>
  <c r="CW96" i="1" l="1"/>
  <c r="CZ96" i="1" s="1"/>
  <c r="CN97" i="1" l="1"/>
  <c r="DA96" i="1"/>
  <c r="CX108" i="1"/>
  <c r="CY108" i="1" s="1"/>
  <c r="DB96" i="1"/>
  <c r="CV97" i="1" l="1"/>
  <c r="DC96" i="1"/>
  <c r="DE96" i="1"/>
  <c r="CP97" i="1"/>
  <c r="DD97" i="1"/>
  <c r="DF97" i="1" s="1"/>
  <c r="CU97" i="1"/>
  <c r="CL96" i="1" l="1"/>
  <c r="DJ96" i="1" s="1"/>
  <c r="CW97" i="1"/>
  <c r="CZ97" i="1"/>
  <c r="DH97" i="1" l="1"/>
  <c r="CN98" i="1"/>
  <c r="DA97" i="1"/>
  <c r="CX109" i="1"/>
  <c r="CY109" i="1" s="1"/>
  <c r="DB97" i="1"/>
  <c r="CS101" i="1" l="1"/>
  <c r="CT102" i="1"/>
  <c r="CV98" i="1"/>
  <c r="DC97" i="1"/>
  <c r="DD98" i="1"/>
  <c r="CP98" i="1"/>
  <c r="DE97" i="1"/>
  <c r="CL97" i="1" l="1"/>
  <c r="DJ97" i="1" s="1"/>
  <c r="CU98" i="1"/>
  <c r="CW98" i="1" s="1"/>
  <c r="CX110" i="1" l="1"/>
  <c r="CY110" i="1" s="1"/>
  <c r="DB98" i="1"/>
  <c r="CZ98" i="1"/>
  <c r="DE98" i="1" l="1"/>
  <c r="CL98" i="1" s="1"/>
  <c r="DJ98" i="1" s="1"/>
  <c r="CN99" i="1"/>
  <c r="DA98" i="1"/>
  <c r="DC98" i="1"/>
  <c r="CV99" i="1"/>
  <c r="CQ99" i="1" l="1"/>
  <c r="DG99" i="1" s="1"/>
  <c r="CS102" i="1"/>
  <c r="CT103" i="1"/>
  <c r="CP99" i="1"/>
  <c r="DD99" i="1"/>
  <c r="DF99" i="1" s="1"/>
  <c r="CU99" i="1"/>
  <c r="CW99" i="1" l="1"/>
  <c r="CX111" i="1" l="1"/>
  <c r="CY111" i="1" s="1"/>
  <c r="DB99" i="1"/>
  <c r="CZ99" i="1"/>
  <c r="CN100" i="1" l="1"/>
  <c r="DA99" i="1"/>
  <c r="DE99" i="1"/>
  <c r="CL99" i="1" s="1"/>
  <c r="DJ99" i="1" s="1"/>
  <c r="CV100" i="1"/>
  <c r="DC99" i="1"/>
  <c r="CR100" i="1" l="1"/>
  <c r="CQ100" i="1"/>
  <c r="DG100" i="1" s="1"/>
  <c r="DK99" i="1"/>
  <c r="DD100" i="1"/>
  <c r="CP100" i="1"/>
  <c r="CU100" i="1" l="1"/>
  <c r="DI100" i="1"/>
  <c r="CW100" i="1"/>
  <c r="CZ100" i="1" s="1"/>
  <c r="DA100" i="1" l="1"/>
  <c r="CN101" i="1"/>
  <c r="CR101" i="1" s="1"/>
  <c r="CX112" i="1"/>
  <c r="CY112" i="1" s="1"/>
  <c r="DB100" i="1"/>
  <c r="CV101" i="1" l="1"/>
  <c r="DC100" i="1"/>
  <c r="DE100" i="1"/>
  <c r="DD101" i="1"/>
  <c r="DF101" i="1" s="1"/>
  <c r="CP101" i="1"/>
  <c r="DI101" i="1" s="1"/>
  <c r="CT105" i="1"/>
  <c r="CS104" i="1"/>
  <c r="CL100" i="1" l="1"/>
  <c r="CU101" i="1"/>
  <c r="DJ100" i="1" l="1"/>
  <c r="BS46" i="1"/>
  <c r="CW101" i="1"/>
  <c r="CZ101" i="1" s="1"/>
  <c r="CN102" i="1" l="1"/>
  <c r="DA101" i="1"/>
  <c r="CX113" i="1"/>
  <c r="CY113" i="1" s="1"/>
  <c r="DB101" i="1"/>
  <c r="CS105" i="1" l="1"/>
  <c r="CT106" i="1"/>
  <c r="DC101" i="1"/>
  <c r="CV102" i="1"/>
  <c r="DD102" i="1"/>
  <c r="CP102" i="1"/>
  <c r="CQ102" i="1"/>
  <c r="DE101" i="1"/>
  <c r="CL101" i="1" l="1"/>
  <c r="DJ101" i="1" s="1"/>
  <c r="DG102" i="1"/>
  <c r="CU102" i="1"/>
  <c r="CW102" i="1" s="1"/>
  <c r="CX114" i="1" s="1"/>
  <c r="CY114" i="1" s="1"/>
  <c r="DB102" i="1" l="1"/>
  <c r="CZ102" i="1"/>
  <c r="DA102" i="1" l="1"/>
  <c r="DE102" i="1"/>
  <c r="CN103" i="1"/>
  <c r="CQ103" i="1" s="1"/>
  <c r="DC102" i="1"/>
  <c r="CV103" i="1"/>
  <c r="CL102" i="1" l="1"/>
  <c r="DJ102" i="1" s="1"/>
  <c r="CP103" i="1"/>
  <c r="DD103" i="1"/>
  <c r="DF103" i="1" s="1"/>
  <c r="CR103" i="1"/>
  <c r="DG103" i="1" l="1"/>
  <c r="DI103" i="1"/>
  <c r="CU103" i="1"/>
  <c r="CW103" i="1" l="1"/>
  <c r="CZ103" i="1" s="1"/>
  <c r="CN104" i="1" l="1"/>
  <c r="DA103" i="1"/>
  <c r="CX115" i="1"/>
  <c r="CY115" i="1" s="1"/>
  <c r="DB103" i="1"/>
  <c r="CR104" i="1" l="1"/>
  <c r="CS107" i="1"/>
  <c r="CT108" i="1"/>
  <c r="DC103" i="1"/>
  <c r="CV104" i="1"/>
  <c r="DE103" i="1"/>
  <c r="CP104" i="1"/>
  <c r="CU104" i="1" s="1"/>
  <c r="DD104" i="1"/>
  <c r="DI104" i="1" l="1"/>
  <c r="CL103" i="1"/>
  <c r="DJ103" i="1" s="1"/>
  <c r="CW104" i="1"/>
  <c r="CX116" i="1" l="1"/>
  <c r="CY116" i="1" s="1"/>
  <c r="DB104" i="1"/>
  <c r="CZ104" i="1"/>
  <c r="CV105" i="1" l="1"/>
  <c r="DC104" i="1"/>
  <c r="CN105" i="1"/>
  <c r="CQ105" i="1" s="1"/>
  <c r="DA104" i="1"/>
  <c r="DE104" i="1"/>
  <c r="CL104" i="1" s="1"/>
  <c r="DJ104" i="1" s="1"/>
  <c r="DG105" i="1" l="1"/>
  <c r="CT109" i="1"/>
  <c r="CS108" i="1"/>
  <c r="DD105" i="1"/>
  <c r="DF105" i="1" s="1"/>
  <c r="CP105" i="1"/>
  <c r="CU105" i="1" l="1"/>
  <c r="CW105" i="1" s="1"/>
  <c r="CZ105" i="1" s="1"/>
  <c r="CN106" i="1" l="1"/>
  <c r="CR106" i="1" s="1"/>
  <c r="DA105" i="1"/>
  <c r="CX117" i="1"/>
  <c r="CY117" i="1" s="1"/>
  <c r="DB105" i="1"/>
  <c r="CQ106" i="1" l="1"/>
  <c r="DG106" i="1" s="1"/>
  <c r="CT110" i="1"/>
  <c r="CS109" i="1"/>
  <c r="CV106" i="1"/>
  <c r="DC105" i="1"/>
  <c r="DE105" i="1"/>
  <c r="CL105" i="1" s="1"/>
  <c r="DJ105" i="1" s="1"/>
  <c r="DD106" i="1"/>
  <c r="CP106" i="1"/>
  <c r="DI106" i="1" s="1"/>
  <c r="DK105" i="1" l="1"/>
  <c r="CU106" i="1"/>
  <c r="CW106" i="1" s="1"/>
  <c r="CX118" i="1" l="1"/>
  <c r="CY118" i="1" s="1"/>
  <c r="DB106" i="1"/>
  <c r="CZ106" i="1"/>
  <c r="DA106" i="1" l="1"/>
  <c r="CN107" i="1"/>
  <c r="DE106" i="1"/>
  <c r="CV107" i="1"/>
  <c r="DC106" i="1"/>
  <c r="CL106" i="1" l="1"/>
  <c r="DJ106" i="1" s="1"/>
  <c r="CR107" i="1"/>
  <c r="CQ107" i="1"/>
  <c r="DG107" i="1" s="1"/>
  <c r="CP107" i="1"/>
  <c r="DD107" i="1"/>
  <c r="DF107" i="1" s="1"/>
  <c r="CU107" i="1" l="1"/>
  <c r="DI107" i="1"/>
  <c r="CW107" i="1"/>
  <c r="CZ107" i="1" s="1"/>
  <c r="DA107" i="1" l="1"/>
  <c r="CN108" i="1"/>
  <c r="CR108" i="1" s="1"/>
  <c r="DH107" i="1"/>
  <c r="CX119" i="1"/>
  <c r="CY119" i="1" s="1"/>
  <c r="DB107" i="1"/>
  <c r="CT112" i="1" l="1"/>
  <c r="CS111" i="1"/>
  <c r="DC107" i="1"/>
  <c r="CV108" i="1"/>
  <c r="DE107" i="1"/>
  <c r="CP108" i="1"/>
  <c r="DI108" i="1" s="1"/>
  <c r="DD108" i="1"/>
  <c r="CL107" i="1" l="1"/>
  <c r="DJ107" i="1" s="1"/>
  <c r="CU108" i="1"/>
  <c r="CW108" i="1" s="1"/>
  <c r="CX120" i="1" l="1"/>
  <c r="CY120" i="1" s="1"/>
  <c r="DB108" i="1"/>
  <c r="CZ108" i="1"/>
  <c r="CN109" i="1" l="1"/>
  <c r="DA108" i="1"/>
  <c r="DE108" i="1"/>
  <c r="DC108" i="1"/>
  <c r="CV109" i="1"/>
  <c r="CQ109" i="1" l="1"/>
  <c r="CT113" i="1"/>
  <c r="CS112" i="1"/>
  <c r="CL108" i="1"/>
  <c r="DJ108" i="1" s="1"/>
  <c r="DD109" i="1"/>
  <c r="DF109" i="1" s="1"/>
  <c r="CP109" i="1"/>
  <c r="DG109" i="1" l="1"/>
  <c r="CU109" i="1"/>
  <c r="CW109" i="1" s="1"/>
  <c r="CX121" i="1" l="1"/>
  <c r="CY121" i="1" s="1"/>
  <c r="DB109" i="1"/>
  <c r="CZ109" i="1"/>
  <c r="DA109" i="1" l="1"/>
  <c r="CN110" i="1"/>
  <c r="CQ110" i="1" s="1"/>
  <c r="DE109" i="1"/>
  <c r="DC109" i="1"/>
  <c r="CV110" i="1"/>
  <c r="CL109" i="1" l="1"/>
  <c r="DJ109" i="1" s="1"/>
  <c r="CR110" i="1"/>
  <c r="CS113" i="1"/>
  <c r="CT114" i="1"/>
  <c r="CP110" i="1"/>
  <c r="DD110" i="1"/>
  <c r="DG110" i="1" l="1"/>
  <c r="DI110" i="1"/>
  <c r="CU110" i="1"/>
  <c r="CW110" i="1" s="1"/>
  <c r="DB110" i="1" l="1"/>
  <c r="CV111" i="1" s="1"/>
  <c r="CX122" i="1"/>
  <c r="CY122" i="1" s="1"/>
  <c r="CZ110" i="1"/>
  <c r="DC110" i="1" l="1"/>
  <c r="DA110" i="1"/>
  <c r="DE110" i="1"/>
  <c r="CN111" i="1"/>
  <c r="CQ111" i="1" l="1"/>
  <c r="CR111" i="1"/>
  <c r="CL110" i="1"/>
  <c r="DJ110" i="1" s="1"/>
  <c r="DD111" i="1"/>
  <c r="DF111" i="1" s="1"/>
  <c r="CP111" i="1"/>
  <c r="DI111" i="1" s="1"/>
  <c r="DG111" i="1" l="1"/>
  <c r="CU111" i="1"/>
  <c r="CW111" i="1" s="1"/>
  <c r="CX123" i="1" l="1"/>
  <c r="CY123" i="1" s="1"/>
  <c r="CZ111" i="1"/>
  <c r="CN112" i="1" s="1"/>
  <c r="CR112" i="1" s="1"/>
  <c r="DB111" i="1"/>
  <c r="DA111" i="1" l="1"/>
  <c r="CT116" i="1"/>
  <c r="CS115" i="1"/>
  <c r="DC111" i="1"/>
  <c r="CV112" i="1"/>
  <c r="CP112" i="1"/>
  <c r="DI112" i="1" s="1"/>
  <c r="DD112" i="1"/>
  <c r="DE111" i="1"/>
  <c r="CL111" i="1" l="1"/>
  <c r="DJ111" i="1" s="1"/>
  <c r="DK111" i="1"/>
  <c r="CU112" i="1"/>
  <c r="CW112" i="1" s="1"/>
  <c r="CX124" i="1" s="1"/>
  <c r="CY124" i="1" s="1"/>
  <c r="DB112" i="1" l="1"/>
  <c r="CZ112" i="1"/>
  <c r="CN113" i="1" l="1"/>
  <c r="CQ113" i="1" s="1"/>
  <c r="DA112" i="1"/>
  <c r="DE112" i="1"/>
  <c r="CL112" i="1" s="1"/>
  <c r="DC112" i="1"/>
  <c r="CV113" i="1"/>
  <c r="DG113" i="1" l="1"/>
  <c r="DJ112" i="1"/>
  <c r="DD113" i="1"/>
  <c r="DF113" i="1" s="1"/>
  <c r="CP113" i="1"/>
  <c r="CU113" i="1" l="1"/>
  <c r="CW113" i="1" s="1"/>
  <c r="CZ113" i="1" l="1"/>
  <c r="CX125" i="1"/>
  <c r="CY125" i="1" s="1"/>
  <c r="DA113" i="1"/>
  <c r="CN114" i="1"/>
  <c r="DB113" i="1"/>
  <c r="CR114" i="1" l="1"/>
  <c r="CS117" i="1"/>
  <c r="CT118" i="1"/>
  <c r="CV114" i="1"/>
  <c r="DC113" i="1"/>
  <c r="DE113" i="1"/>
  <c r="CL113" i="1" s="1"/>
  <c r="CP114" i="1"/>
  <c r="DD114" i="1"/>
  <c r="DJ113" i="1" l="1"/>
  <c r="CU114" i="1"/>
  <c r="DI114" i="1"/>
  <c r="CW114" i="1"/>
  <c r="CX126" i="1" s="1"/>
  <c r="CY126" i="1" s="1"/>
  <c r="CZ114" i="1" l="1"/>
  <c r="DB114" i="1"/>
  <c r="CV115" i="1" l="1"/>
  <c r="DC114" i="1"/>
  <c r="CN115" i="1"/>
  <c r="CQ115" i="1" s="1"/>
  <c r="DE114" i="1"/>
  <c r="CL114" i="1" s="1"/>
  <c r="DA114" i="1"/>
  <c r="DG115" i="1" l="1"/>
  <c r="DJ114" i="1"/>
  <c r="CP115" i="1"/>
  <c r="DD115" i="1"/>
  <c r="DF115" i="1" s="1"/>
  <c r="CT119" i="1"/>
  <c r="CU115" i="1"/>
  <c r="CS118" i="1"/>
  <c r="CW115" i="1" l="1"/>
  <c r="CX127" i="1" s="1"/>
  <c r="CY127" i="1" s="1"/>
  <c r="CZ115" i="1" l="1"/>
  <c r="CN116" i="1"/>
  <c r="CR116" i="1" s="1"/>
  <c r="DA115" i="1"/>
  <c r="DB115" i="1"/>
  <c r="CV116" i="1" l="1"/>
  <c r="DC115" i="1"/>
  <c r="DE115" i="1"/>
  <c r="CL115" i="1" s="1"/>
  <c r="DD116" i="1"/>
  <c r="CP116" i="1"/>
  <c r="CQ116" i="1"/>
  <c r="DG116" i="1" s="1"/>
  <c r="DJ115" i="1" l="1"/>
  <c r="DI116" i="1"/>
  <c r="CU116" i="1"/>
  <c r="CW116" i="1" l="1"/>
  <c r="CX128" i="1" s="1"/>
  <c r="CY128" i="1" s="1"/>
  <c r="CZ116" i="1" l="1"/>
  <c r="CN117" i="1" s="1"/>
  <c r="DB116" i="1"/>
  <c r="DA116" i="1" l="1"/>
  <c r="CV117" i="1"/>
  <c r="DC116" i="1"/>
  <c r="DD117" i="1"/>
  <c r="DF117" i="1" s="1"/>
  <c r="CP117" i="1"/>
  <c r="CR117" i="1"/>
  <c r="DE116" i="1"/>
  <c r="CL116" i="1" l="1"/>
  <c r="DJ116" i="1" s="1"/>
  <c r="DI117" i="1"/>
  <c r="CU117" i="1"/>
  <c r="CW117" i="1" l="1"/>
  <c r="CX129" i="1" s="1"/>
  <c r="CY129" i="1" s="1"/>
  <c r="CZ117" i="1" l="1"/>
  <c r="CN118" i="1"/>
  <c r="DA117" i="1"/>
  <c r="DB117" i="1"/>
  <c r="CT122" i="1" l="1"/>
  <c r="CS121" i="1"/>
  <c r="DC117" i="1"/>
  <c r="CV118" i="1"/>
  <c r="CP118" i="1"/>
  <c r="DD118" i="1"/>
  <c r="DE117" i="1"/>
  <c r="CL117" i="1" s="1"/>
  <c r="DJ117" i="1" l="1"/>
  <c r="DK117" i="1"/>
  <c r="CU118" i="1"/>
  <c r="CW118" i="1" l="1"/>
  <c r="CZ118" i="1" s="1"/>
  <c r="DB118" i="1"/>
  <c r="DC118" i="1" s="1"/>
  <c r="CV119" i="1"/>
  <c r="DH118" i="1" l="1"/>
  <c r="DA118" i="1"/>
  <c r="DE118" i="1"/>
  <c r="CL118" i="1" s="1"/>
  <c r="DJ118" i="1" s="1"/>
  <c r="CN119" i="1"/>
  <c r="CQ119" i="1"/>
  <c r="DG119" i="1" s="1"/>
  <c r="CS122" i="1"/>
  <c r="CT123" i="1"/>
  <c r="CP119" i="1"/>
  <c r="DD119" i="1"/>
  <c r="DF119" i="1" s="1"/>
  <c r="CU119" i="1" l="1"/>
  <c r="CW119" i="1" s="1"/>
  <c r="DB119" i="1" s="1"/>
  <c r="CZ119" i="1" l="1"/>
  <c r="CV120" i="1"/>
  <c r="DC119" i="1"/>
  <c r="CN120" i="1" l="1"/>
  <c r="CP120" i="1" s="1"/>
  <c r="DH119" i="1"/>
  <c r="DE119" i="1"/>
  <c r="CL119" i="1" s="1"/>
  <c r="DA119" i="1"/>
  <c r="DJ119" i="1" l="1"/>
  <c r="CR120" i="1"/>
  <c r="CQ120" i="1"/>
  <c r="DG120" i="1" s="1"/>
  <c r="DD120" i="1"/>
  <c r="CU120" i="1" l="1"/>
  <c r="DI120" i="1"/>
  <c r="CW120" i="1" l="1"/>
  <c r="DB120" i="1" s="1"/>
  <c r="CV121" i="1"/>
  <c r="DC120" i="1"/>
  <c r="CZ120" i="1" l="1"/>
  <c r="CN121" i="1"/>
  <c r="CP121" i="1" s="1"/>
  <c r="DA120" i="1"/>
  <c r="DE120" i="1"/>
  <c r="CL120" i="1" s="1"/>
  <c r="DJ120" i="1" l="1"/>
  <c r="CR121" i="1"/>
  <c r="DD121" i="1"/>
  <c r="DF121" i="1" s="1"/>
  <c r="CU121" i="1" l="1"/>
  <c r="DI121" i="1"/>
  <c r="CW121" i="1" l="1"/>
  <c r="DB121" i="1" s="1"/>
  <c r="CV122" i="1" s="1"/>
  <c r="DC121" i="1"/>
  <c r="CZ121" i="1" l="1"/>
  <c r="DE121" i="1" l="1"/>
  <c r="CN122" i="1"/>
  <c r="DA121" i="1"/>
  <c r="CL121" i="1" l="1"/>
  <c r="DJ121" i="1" s="1"/>
  <c r="CP122" i="1"/>
  <c r="CU122" i="1" s="1"/>
  <c r="CS125" i="1"/>
  <c r="CT126" i="1"/>
  <c r="DD122" i="1"/>
  <c r="CW122" i="1" l="1"/>
  <c r="CS126" i="1"/>
  <c r="CT127" i="1"/>
  <c r="CZ122" i="1" l="1"/>
  <c r="DB122" i="1"/>
  <c r="DE122" i="1" s="1"/>
  <c r="DA122" i="1"/>
  <c r="CN123" i="1"/>
  <c r="DC122" i="1" l="1"/>
  <c r="CV123" i="1"/>
  <c r="CL122" i="1"/>
  <c r="DJ122" i="1" s="1"/>
  <c r="CP123" i="1"/>
  <c r="CQ123" i="1"/>
  <c r="DG123" i="1" s="1"/>
  <c r="DD123" i="1"/>
  <c r="DF123" i="1" s="1"/>
  <c r="CU123" i="1" l="1"/>
  <c r="CW123" i="1" s="1"/>
  <c r="DB123" i="1" s="1"/>
  <c r="CQ124" i="1"/>
  <c r="DG124" i="1" s="1"/>
  <c r="CV124" i="1" l="1"/>
  <c r="DC123" i="1"/>
  <c r="CZ123" i="1"/>
  <c r="CN124" i="1" l="1"/>
  <c r="DE123" i="1"/>
  <c r="CL123" i="1" s="1"/>
  <c r="DA123" i="1"/>
  <c r="CS127" i="1" l="1"/>
  <c r="CT128" i="1"/>
  <c r="DK123" i="1"/>
  <c r="DJ123" i="1"/>
  <c r="CP124" i="1"/>
  <c r="CR124" i="1"/>
  <c r="DD124" i="1"/>
  <c r="CU124" i="1" l="1"/>
  <c r="CW124" i="1" s="1"/>
  <c r="DB124" i="1" s="1"/>
  <c r="DI124" i="1"/>
  <c r="CR125" i="1"/>
  <c r="DI125" i="1"/>
  <c r="CV125" i="1" l="1"/>
  <c r="DC124" i="1"/>
  <c r="CZ124" i="1"/>
  <c r="DA124" i="1" l="1"/>
  <c r="DE124" i="1"/>
  <c r="CN125" i="1"/>
  <c r="CQ125" i="1" s="1"/>
  <c r="CL124" i="1" l="1"/>
  <c r="DJ124" i="1" s="1"/>
  <c r="CP125" i="1"/>
  <c r="CT129" i="1"/>
  <c r="CS128" i="1"/>
  <c r="DD125" i="1"/>
  <c r="DF125" i="1" s="1"/>
  <c r="CU125" i="1" l="1"/>
  <c r="CW125" i="1" s="1"/>
  <c r="DG125" i="1"/>
  <c r="CZ125" i="1" l="1"/>
  <c r="DB125" i="1"/>
  <c r="CN126" i="1"/>
  <c r="DA125" i="1"/>
  <c r="DE125" i="1"/>
  <c r="CR126" i="1" l="1"/>
  <c r="CS129" i="1"/>
  <c r="CV126" i="1"/>
  <c r="DC125" i="1"/>
  <c r="CL125" i="1"/>
  <c r="DJ125" i="1" s="1"/>
  <c r="CP126" i="1"/>
  <c r="CQ126" i="1"/>
  <c r="DG126" i="1" s="1"/>
  <c r="DD126" i="1"/>
  <c r="DI126" i="1" l="1"/>
  <c r="CU126" i="1"/>
  <c r="CW126" i="1"/>
  <c r="CZ126" i="1" s="1"/>
  <c r="DB126" i="1" l="1"/>
  <c r="DA126" i="1"/>
  <c r="CN127" i="1"/>
  <c r="CQ127" i="1" s="1"/>
  <c r="DE126" i="1"/>
  <c r="CV127" i="1" l="1"/>
  <c r="DC126" i="1"/>
  <c r="CL126" i="1"/>
  <c r="CP127" i="1"/>
  <c r="DD127" i="1"/>
  <c r="DF127" i="1" s="1"/>
  <c r="CR127" i="1"/>
  <c r="CQ128" i="1"/>
  <c r="DG128" i="1" s="1"/>
  <c r="DJ126" i="1" l="1"/>
  <c r="DG127" i="1"/>
  <c r="CU127" i="1"/>
  <c r="CW127" i="1" s="1"/>
  <c r="CZ127" i="1" s="1"/>
  <c r="DI127" i="1"/>
  <c r="DB127" i="1" l="1"/>
  <c r="CN128" i="1"/>
  <c r="CR128" i="1" s="1"/>
  <c r="DA127" i="1"/>
  <c r="DE127" i="1"/>
  <c r="CV128" i="1" l="1"/>
  <c r="DC127" i="1"/>
  <c r="CL127" i="1"/>
  <c r="DJ127" i="1" s="1"/>
  <c r="CP128" i="1"/>
  <c r="DD128" i="1"/>
  <c r="CR129" i="1"/>
  <c r="CU128" i="1" l="1"/>
  <c r="DI128" i="1"/>
  <c r="CW128" i="1"/>
  <c r="CZ128" i="1" s="1"/>
  <c r="DI129" i="1"/>
  <c r="DB128" i="1" l="1"/>
  <c r="DA128" i="1"/>
  <c r="CN129" i="1"/>
  <c r="CQ129" i="1" s="1"/>
  <c r="DE128" i="1"/>
  <c r="DC128" i="1" l="1"/>
  <c r="CV129" i="1"/>
  <c r="CL128" i="1"/>
  <c r="DJ128" i="1" s="1"/>
  <c r="CP129" i="1"/>
  <c r="CU129" i="1" s="1"/>
  <c r="DD129" i="1"/>
  <c r="DF129" i="1" s="1"/>
  <c r="DG129" i="1" l="1"/>
  <c r="CW129" i="1"/>
  <c r="CZ129" i="1" s="1"/>
  <c r="DB129" i="1" l="1"/>
  <c r="DC129" i="1" s="1"/>
  <c r="DA129" i="1"/>
  <c r="DH129" i="1"/>
  <c r="DE129" i="1"/>
  <c r="CL129" i="1" s="1"/>
  <c r="DJ129" i="1" l="1"/>
  <c r="DK129" i="1"/>
</calcChain>
</file>

<file path=xl/sharedStrings.xml><?xml version="1.0" encoding="utf-8"?>
<sst xmlns="http://schemas.openxmlformats.org/spreadsheetml/2006/main" count="200" uniqueCount="70">
  <si>
    <t>This model is a work in progress.  Please let me know if you spot any errors (randy@randyoliver.com)</t>
  </si>
  <si>
    <t>Updated :</t>
  </si>
  <si>
    <t>Summer or fall</t>
  </si>
  <si>
    <t>Enter "S" for summer continual broodrearing, or "F" for fall diminishing brood (no egg-laying  last 4 weeks, no sealed brood the last week).</t>
  </si>
  <si>
    <t>Starting mite pop</t>
  </si>
  <si>
    <t>Enter starting total mite population in the hive (suggest 3000).</t>
  </si>
  <si>
    <t xml:space="preserve">Enter the estimated overall % kill of the "phoretic" mites from each OAV treatment. </t>
  </si>
  <si>
    <t>Treatment intervals</t>
  </si>
  <si>
    <t>Leave blank for no treatments;  Enter  4, 7, 10, 14, or "C" (for custom) number of days between OAV applications.</t>
  </si>
  <si>
    <t/>
  </si>
  <si>
    <t>Summer</t>
  </si>
  <si>
    <t xml:space="preserve"> Fall windown</t>
  </si>
  <si>
    <t>Day</t>
  </si>
  <si>
    <t>Establishment of 12 days of sealed brood with mites</t>
  </si>
  <si>
    <t>Starting number of mites</t>
  </si>
  <si>
    <t>Calculated days of "phoresy"</t>
  </si>
  <si>
    <t>No.  "phoretic"</t>
  </si>
  <si>
    <t>Post-kill "phoretic" survivors</t>
  </si>
  <si>
    <t>Starting mites  in brood</t>
  </si>
  <si>
    <t>"Phoretic" entering brood</t>
  </si>
  <si>
    <t>Additional mites from repro</t>
  </si>
  <si>
    <t>Remaining  "phoretics"</t>
  </si>
  <si>
    <t>Net change in phoretics</t>
  </si>
  <si>
    <t>Ending mites in brood</t>
  </si>
  <si>
    <t>Net change mites in brood</t>
  </si>
  <si>
    <t>Ending total mite pop</t>
  </si>
  <si>
    <t>48-hr drop count</t>
  </si>
  <si>
    <t>Percent kill of total population</t>
  </si>
  <si>
    <t>Daily r</t>
  </si>
  <si>
    <t xml:space="preserve">Mite pop labels </t>
  </si>
  <si>
    <t xml:space="preserve">4-day </t>
  </si>
  <si>
    <t>5-day</t>
  </si>
  <si>
    <t>7-day</t>
  </si>
  <si>
    <t>10-day</t>
  </si>
  <si>
    <t>14-day</t>
  </si>
  <si>
    <t>OAV appl</t>
  </si>
  <si>
    <t>No. combs 65% covered w brood</t>
  </si>
  <si>
    <t>Combs covered with bees</t>
  </si>
  <si>
    <t>Calc'd days "phoretic"</t>
  </si>
  <si>
    <t>Est. no. of bees per comb</t>
  </si>
  <si>
    <t>Est. no of adult bees</t>
  </si>
  <si>
    <t>Bees to brood</t>
  </si>
  <si>
    <t>Brood status</t>
  </si>
  <si>
    <t>Days or dates</t>
  </si>
  <si>
    <t>Decreasing</t>
  </si>
  <si>
    <t>ASSUMPTIONS</t>
  </si>
  <si>
    <t>Assumed number of bees in the colony with a high brood:adult bee ratio due to natural bloom or feeding</t>
  </si>
  <si>
    <t>Assumed average mite daughters per cycle</t>
  </si>
  <si>
    <t>VALIDATION CHECK</t>
  </si>
  <si>
    <r>
      <rPr>
        <b/>
        <i/>
        <sz val="10"/>
        <color rgb="FF7030A0"/>
        <rFont val="Arial"/>
        <family val="2"/>
      </rPr>
      <t>In absence of  treatments</t>
    </r>
    <r>
      <rPr>
        <sz val="10"/>
        <color rgb="FF7030A0"/>
        <rFont val="Arial"/>
        <family val="2"/>
      </rPr>
      <t>, the calculated daily bee r-value ( 0.021 -0.023 for Summer; ~0.19 for Fall)</t>
    </r>
  </si>
  <si>
    <t>Growth factors</t>
  </si>
  <si>
    <r>
      <t xml:space="preserve">Enter "1" for custom OAV applications </t>
    </r>
    <r>
      <rPr>
        <b/>
        <sz val="10"/>
        <rFont val="Wingdings 3"/>
        <family val="1"/>
        <charset val="2"/>
      </rPr>
      <t>i</t>
    </r>
  </si>
  <si>
    <t>Fall</t>
  </si>
  <si>
    <t>No eggs</t>
  </si>
  <si>
    <t>Broodless</t>
  </si>
  <si>
    <t>INPUT PARAMETERS</t>
  </si>
  <si>
    <t>Foundresses exiting brood</t>
  </si>
  <si>
    <t xml:space="preserve">Expected cumulative efficacy </t>
  </si>
  <si>
    <t>% of expected total kill of "phoretics"</t>
  </si>
  <si>
    <t>Expected daily mite mortality</t>
  </si>
  <si>
    <t>Expected 24-hr mite drop count</t>
  </si>
  <si>
    <t>Expected mite wash count</t>
  </si>
  <si>
    <t>Mites on adult bees</t>
  </si>
  <si>
    <t>if(BR$5=f,,)</t>
  </si>
  <si>
    <t>Expected efficacy</t>
  </si>
  <si>
    <t>Cells of brood (x 4500)</t>
  </si>
  <si>
    <t>Est. no of adult bees (x1800)</t>
  </si>
  <si>
    <t>Cells of brood (x4500)</t>
  </si>
  <si>
    <r>
      <rPr>
        <b/>
        <sz val="8"/>
        <color rgb="FFFF0000"/>
        <rFont val="Wingdings"/>
        <charset val="2"/>
      </rPr>
      <t>ç</t>
    </r>
    <r>
      <rPr>
        <b/>
        <sz val="8"/>
        <color rgb="FFFF0000"/>
        <rFont val="Arial"/>
        <family val="2"/>
      </rPr>
      <t>Insert "1" for a Custom OAV</t>
    </r>
  </si>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</sst>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day&quot;"/>
    <numFmt numFmtId="165" formatCode="0.0"/>
    <numFmt numFmtId="166" formatCode="0.000"/>
    <numFmt numFmtId="167" formatCode="#,##0.0"/>
    <numFmt numFmtId="168" formatCode="0;\-0;;@"/>
    <numFmt numFmtId="169" formatCode="[$-409]d\-mmm;@"/>
  </numFmts>
  <fonts count="18">
    <font>
      <sz val="10"/>
      <name val="Arial"/>
      <family val="2"/>
    </font>
    <font>
      <sz val="10"/>
      <color rgb="FF7030A0"/>
      <name val="Arial"/>
      <family val="2"/>
    </font>
    <font>
      <b/>
      <sz val="11"/>
      <color rgb="FFFF0000"/>
      <name val="Calibri"/>
      <family val="2"/>
    </font>
    <font>
      <b/>
      <sz val="10"/>
      <name val="Arial"/>
      <family val="2"/>
    </font>
    <font>
      <b/>
      <sz val="10"/>
      <color rgb="FFFF0000"/>
      <name val="Arial"/>
      <family val="2"/>
    </font>
    <font>
      <sz val="10"/>
      <color rgb="FF0070C0"/>
      <name val="Arial"/>
      <family val="2"/>
    </font>
    <font>
      <b/>
      <sz val="10"/>
      <color rgb="FF0070C0"/>
      <name val="Arial"/>
      <family val="2"/>
    </font>
    <font>
      <b/>
      <sz val="10"/>
      <color theme="1"/>
      <name val="Arial"/>
      <family val="2"/>
    </font>
    <font>
      <sz val="10"/>
      <color theme="1"/>
      <name val="Arial"/>
      <family val="2"/>
    </font>
    <font>
      <b/>
      <sz val="10"/>
      <color rgb="FF7030A0"/>
      <name val="Arial"/>
      <family val="2"/>
    </font>
    <font>
      <b/>
      <i/>
      <sz val="10"/>
      <color rgb="FF7030A0"/>
      <name val="Arial"/>
      <family val="2"/>
    </font>
    <font>
      <b/>
      <sz val="10"/>
      <name val="Wingdings 3"/>
      <family val="1"/>
      <charset val="2"/>
    </font>
    <font>
      <b/>
      <sz val="11"/>
      <name val="Arial"/>
      <family val="2"/>
    </font>
    <font>
      <b/>
      <sz val="8"/>
      <color rgb="FFFF0000"/>
      <name val="Arial"/>
      <family val="2"/>
      <charset val="2"/>
    </font>
    <font>
      <b/>
      <sz val="8"/>
      <color rgb="FFFF0000"/>
      <name val="Wingdings"/>
      <charset val="2"/>
    </font>
    <font>
      <b/>
      <sz val="8"/>
      <color rgb="FFFF0000"/>
      <name val="Arial"/>
      <family val="2"/>
    </font>
    <font>
      <sz val="8"/>
      <name val="Arial"/>
      <family val="2"/>
    </font>
    <font>
      <b/>
      <sz val="8"/>
      <name val="Arial"/>
      <family val="2"/>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rgb="FFB8FA26"/>
        <bgColor indexed="64"/>
      </patternFill>
    </fill>
    <fill>
      <patternFill patternType="solid">
        <fgColor theme="0" tint="-0.249977111117893"/>
        <bgColor indexed="64"/>
      </patternFill>
    </fill>
    <fill>
      <patternFill patternType="solid">
        <fgColor theme="0"/>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theme="1"/>
      </left>
      <right style="thin">
        <color theme="1"/>
      </right>
      <top style="thin">
        <color theme="1"/>
      </top>
      <bottom style="thin">
        <color theme="1"/>
      </bottom>
      <diagonal/>
    </border>
  </borders>
  <cellStyleXfs count="1">
    <xf numFmtId="0" fontId="0" fillId="0" borderId="0"/>
  </cellStyleXfs>
  <cellXfs count="133">
    <xf numFmtId="0" fontId="0" fillId="0" borderId="0" xfId="0"/>
    <xf numFmtId="0" fontId="0" fillId="0" borderId="0" xfId="0" applyAlignment="1">
      <alignment horizontal="center"/>
    </xf>
    <xf numFmtId="0" fontId="3" fillId="0" borderId="0" xfId="0" applyFont="1"/>
    <xf numFmtId="0" fontId="4" fillId="0" borderId="0" xfId="0" applyFont="1" applyAlignment="1">
      <alignment horizontal="left"/>
    </xf>
    <xf numFmtId="9" fontId="3" fillId="2" borderId="1" xfId="0" applyNumberFormat="1" applyFont="1" applyFill="1" applyBorder="1" applyAlignment="1" applyProtection="1">
      <alignment horizontal="center"/>
      <protection locked="0"/>
    </xf>
    <xf numFmtId="1" fontId="0" fillId="0" borderId="0" xfId="0" applyNumberFormat="1" applyAlignment="1">
      <alignment horizontal="center"/>
    </xf>
    <xf numFmtId="16" fontId="0" fillId="0" borderId="0" xfId="0" applyNumberFormat="1"/>
    <xf numFmtId="0" fontId="5" fillId="0" borderId="0" xfId="0" applyFont="1" applyAlignment="1">
      <alignment horizontal="left"/>
    </xf>
    <xf numFmtId="0" fontId="6" fillId="0" borderId="0" xfId="0" applyFont="1" applyAlignment="1">
      <alignment horizontal="center"/>
    </xf>
    <xf numFmtId="9" fontId="6" fillId="0" borderId="0" xfId="0" applyNumberFormat="1" applyFont="1" applyAlignment="1">
      <alignment horizontal="center"/>
    </xf>
    <xf numFmtId="9" fontId="3" fillId="0" borderId="0" xfId="0" applyNumberFormat="1" applyFont="1" applyAlignment="1">
      <alignment horizontal="center"/>
    </xf>
    <xf numFmtId="9" fontId="0" fillId="0" borderId="0" xfId="0" applyNumberFormat="1"/>
    <xf numFmtId="9" fontId="0" fillId="0" borderId="0" xfId="0" applyNumberFormat="1" applyAlignment="1">
      <alignment horizontal="center"/>
    </xf>
    <xf numFmtId="0" fontId="3" fillId="9" borderId="1" xfId="0" applyFont="1" applyFill="1" applyBorder="1" applyAlignment="1">
      <alignment horizontal="center"/>
    </xf>
    <xf numFmtId="0" fontId="0" fillId="7" borderId="1" xfId="0" applyFill="1" applyBorder="1" applyAlignment="1">
      <alignment horizontal="right"/>
    </xf>
    <xf numFmtId="0" fontId="0" fillId="7" borderId="1" xfId="0" applyFill="1" applyBorder="1" applyAlignment="1">
      <alignment horizontal="center"/>
    </xf>
    <xf numFmtId="16" fontId="0" fillId="0" borderId="1" xfId="0" applyNumberFormat="1" applyBorder="1"/>
    <xf numFmtId="168" fontId="0" fillId="0" borderId="0" xfId="0" applyNumberFormat="1"/>
    <xf numFmtId="1" fontId="3" fillId="2" borderId="1" xfId="0"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3" fillId="0" borderId="0" xfId="0" applyFont="1" applyProtection="1">
      <protection locked="0"/>
    </xf>
    <xf numFmtId="1" fontId="0" fillId="0" borderId="0" xfId="0" applyNumberFormat="1" applyAlignment="1" applyProtection="1">
      <alignment horizontal="center"/>
      <protection locked="0"/>
    </xf>
    <xf numFmtId="9" fontId="3" fillId="0" borderId="0" xfId="0" applyNumberFormat="1" applyFont="1" applyAlignment="1" applyProtection="1">
      <alignment horizontal="center"/>
      <protection locked="0"/>
    </xf>
    <xf numFmtId="9" fontId="0" fillId="0" borderId="0" xfId="0" applyNumberFormat="1" applyProtection="1">
      <protection locked="0"/>
    </xf>
    <xf numFmtId="0" fontId="3" fillId="5" borderId="4" xfId="0" applyFont="1" applyFill="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6" borderId="1" xfId="0"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3" fillId="7" borderId="1" xfId="0" applyFont="1" applyFill="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horizontal="center" wrapText="1"/>
      <protection locked="0"/>
    </xf>
    <xf numFmtId="0" fontId="3" fillId="3"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wrapText="1"/>
      <protection locked="0"/>
    </xf>
    <xf numFmtId="0" fontId="3" fillId="5" borderId="1" xfId="0" applyFont="1" applyFill="1" applyBorder="1" applyAlignment="1" applyProtection="1">
      <alignment horizontal="center"/>
      <protection locked="0"/>
    </xf>
    <xf numFmtId="1" fontId="4" fillId="0" borderId="1" xfId="0" applyNumberFormat="1" applyFont="1" applyBorder="1" applyAlignment="1" applyProtection="1">
      <alignment horizontal="center"/>
      <protection locked="0"/>
    </xf>
    <xf numFmtId="165" fontId="3" fillId="0" borderId="1" xfId="0" applyNumberFormat="1" applyFont="1" applyBorder="1" applyAlignment="1" applyProtection="1">
      <alignment horizontal="center"/>
      <protection locked="0"/>
    </xf>
    <xf numFmtId="1" fontId="3" fillId="6" borderId="1" xfId="0" applyNumberFormat="1" applyFont="1" applyFill="1" applyBorder="1" applyAlignment="1" applyProtection="1">
      <alignment horizontal="center"/>
      <protection locked="0"/>
    </xf>
    <xf numFmtId="9" fontId="3" fillId="8" borderId="1" xfId="0" applyNumberFormat="1" applyFont="1" applyFill="1" applyBorder="1" applyAlignment="1" applyProtection="1">
      <alignment horizontal="center"/>
      <protection locked="0"/>
    </xf>
    <xf numFmtId="9" fontId="7" fillId="2" borderId="1" xfId="0" applyNumberFormat="1" applyFont="1" applyFill="1" applyBorder="1" applyAlignment="1" applyProtection="1">
      <alignment horizontal="center"/>
      <protection locked="0"/>
    </xf>
    <xf numFmtId="1" fontId="7" fillId="6" borderId="1" xfId="0" applyNumberFormat="1" applyFont="1" applyFill="1" applyBorder="1" applyAlignment="1" applyProtection="1">
      <alignment horizontal="center"/>
      <protection locked="0"/>
    </xf>
    <xf numFmtId="1" fontId="3" fillId="7" borderId="1" xfId="0" applyNumberFormat="1" applyFont="1" applyFill="1" applyBorder="1" applyAlignment="1" applyProtection="1">
      <alignment horizontal="center"/>
      <protection locked="0"/>
    </xf>
    <xf numFmtId="1" fontId="3" fillId="5" borderId="1" xfId="0" applyNumberFormat="1" applyFont="1" applyFill="1" applyBorder="1" applyAlignment="1" applyProtection="1">
      <alignment horizontal="center"/>
      <protection locked="0"/>
    </xf>
    <xf numFmtId="1" fontId="3" fillId="0" borderId="1" xfId="0" applyNumberFormat="1" applyFont="1" applyBorder="1" applyAlignment="1" applyProtection="1">
      <alignment horizontal="center"/>
      <protection locked="0"/>
    </xf>
    <xf numFmtId="1" fontId="6" fillId="9" borderId="1" xfId="0" applyNumberFormat="1" applyFont="1" applyFill="1" applyBorder="1" applyAlignment="1" applyProtection="1">
      <alignment horizontal="center"/>
      <protection locked="0"/>
    </xf>
    <xf numFmtId="1" fontId="6" fillId="9" borderId="6" xfId="0" applyNumberFormat="1" applyFont="1" applyFill="1" applyBorder="1" applyAlignment="1" applyProtection="1">
      <alignment horizontal="center"/>
      <protection locked="0"/>
    </xf>
    <xf numFmtId="1" fontId="6" fillId="0" borderId="6"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166" fontId="1" fillId="0" borderId="1" xfId="0" applyNumberFormat="1" applyFont="1" applyBorder="1" applyAlignment="1" applyProtection="1">
      <alignment horizontal="center"/>
      <protection locked="0"/>
    </xf>
    <xf numFmtId="0" fontId="3" fillId="0" borderId="1" xfId="0" applyFont="1" applyBorder="1" applyAlignment="1" applyProtection="1">
      <alignment horizontal="center"/>
      <protection locked="0"/>
    </xf>
    <xf numFmtId="9" fontId="3" fillId="5" borderId="1" xfId="0" applyNumberFormat="1" applyFont="1" applyFill="1" applyBorder="1" applyAlignment="1" applyProtection="1">
      <alignment horizontal="center"/>
      <protection locked="0"/>
    </xf>
    <xf numFmtId="1" fontId="3" fillId="3" borderId="1" xfId="0" applyNumberFormat="1" applyFont="1" applyFill="1" applyBorder="1" applyAlignment="1" applyProtection="1">
      <alignment horizontal="center"/>
      <protection locked="0"/>
    </xf>
    <xf numFmtId="3" fontId="3" fillId="3" borderId="1" xfId="0" applyNumberFormat="1" applyFont="1" applyFill="1" applyBorder="1" applyAlignment="1" applyProtection="1">
      <alignment horizontal="center"/>
      <protection locked="0"/>
    </xf>
    <xf numFmtId="165" fontId="3" fillId="3" borderId="1" xfId="0" applyNumberFormat="1" applyFont="1" applyFill="1" applyBorder="1" applyAlignment="1" applyProtection="1">
      <alignment horizontal="center"/>
      <protection locked="0"/>
    </xf>
    <xf numFmtId="165" fontId="3" fillId="4" borderId="1" xfId="0" applyNumberFormat="1" applyFont="1" applyFill="1" applyBorder="1" applyAlignment="1" applyProtection="1">
      <alignment horizontal="center"/>
      <protection locked="0"/>
    </xf>
    <xf numFmtId="3" fontId="3" fillId="4" borderId="1" xfId="0" applyNumberFormat="1" applyFont="1" applyFill="1" applyBorder="1" applyAlignment="1" applyProtection="1">
      <alignment horizontal="center"/>
      <protection locked="0"/>
    </xf>
    <xf numFmtId="167" fontId="3" fillId="4" borderId="1" xfId="0" applyNumberFormat="1" applyFont="1" applyFill="1" applyBorder="1" applyAlignment="1" applyProtection="1">
      <alignment horizontal="center"/>
      <protection locked="0"/>
    </xf>
    <xf numFmtId="167" fontId="0" fillId="4" borderId="1" xfId="0" applyNumberFormat="1" applyFill="1" applyBorder="1" applyAlignment="1" applyProtection="1">
      <alignment horizontal="center"/>
      <protection locked="0"/>
    </xf>
    <xf numFmtId="0" fontId="0" fillId="0" borderId="1" xfId="0" applyBorder="1" applyAlignment="1" applyProtection="1">
      <alignment horizontal="center"/>
      <protection locked="0"/>
    </xf>
    <xf numFmtId="168" fontId="3" fillId="8" borderId="1" xfId="0" applyNumberFormat="1" applyFont="1" applyFill="1" applyBorder="1" applyAlignment="1" applyProtection="1">
      <alignment horizontal="center"/>
      <protection locked="0"/>
    </xf>
    <xf numFmtId="1" fontId="6" fillId="0" borderId="1" xfId="0" applyNumberFormat="1" applyFont="1" applyBorder="1" applyAlignment="1" applyProtection="1">
      <alignment horizontal="center"/>
      <protection locked="0"/>
    </xf>
    <xf numFmtId="1" fontId="0" fillId="0" borderId="1" xfId="0" applyNumberFormat="1" applyBorder="1" applyAlignment="1" applyProtection="1">
      <alignment horizontal="center"/>
      <protection locked="0"/>
    </xf>
    <xf numFmtId="1" fontId="3" fillId="4" borderId="1" xfId="0" applyNumberFormat="1" applyFont="1" applyFill="1" applyBorder="1" applyAlignment="1" applyProtection="1">
      <alignment horizontal="center"/>
      <protection locked="0"/>
    </xf>
    <xf numFmtId="1" fontId="3" fillId="8" borderId="1" xfId="0" applyNumberFormat="1" applyFont="1" applyFill="1" applyBorder="1" applyAlignment="1" applyProtection="1">
      <alignment horizontal="center"/>
      <protection locked="0"/>
    </xf>
    <xf numFmtId="16" fontId="0" fillId="0" borderId="1" xfId="0" applyNumberFormat="1" applyBorder="1" applyAlignment="1" applyProtection="1">
      <alignment horizontal="center"/>
      <protection locked="0"/>
    </xf>
    <xf numFmtId="0" fontId="0" fillId="5" borderId="1" xfId="0" applyFill="1" applyBorder="1" applyAlignment="1" applyProtection="1">
      <alignment horizontal="center"/>
      <protection locked="0"/>
    </xf>
    <xf numFmtId="9" fontId="0" fillId="5" borderId="1" xfId="0" applyNumberFormat="1" applyFill="1" applyBorder="1" applyProtection="1">
      <protection locked="0"/>
    </xf>
    <xf numFmtId="165" fontId="3" fillId="5" borderId="1" xfId="0" applyNumberFormat="1" applyFont="1" applyFill="1" applyBorder="1" applyAlignment="1" applyProtection="1">
      <alignment horizontal="center"/>
      <protection locked="0"/>
    </xf>
    <xf numFmtId="168" fontId="3" fillId="5" borderId="1" xfId="0" applyNumberFormat="1" applyFont="1" applyFill="1" applyBorder="1" applyAlignment="1" applyProtection="1">
      <alignment horizontal="center"/>
      <protection locked="0"/>
    </xf>
    <xf numFmtId="1" fontId="7" fillId="5" borderId="1" xfId="0" applyNumberFormat="1" applyFont="1" applyFill="1" applyBorder="1" applyAlignment="1" applyProtection="1">
      <alignment horizontal="center"/>
      <protection locked="0"/>
    </xf>
    <xf numFmtId="1" fontId="6" fillId="5" borderId="1" xfId="0" applyNumberFormat="1" applyFont="1" applyFill="1" applyBorder="1" applyAlignment="1" applyProtection="1">
      <alignment horizontal="center"/>
      <protection locked="0"/>
    </xf>
    <xf numFmtId="1" fontId="6" fillId="5" borderId="6" xfId="0" applyNumberFormat="1" applyFont="1" applyFill="1" applyBorder="1" applyAlignment="1" applyProtection="1">
      <alignment horizontal="center"/>
      <protection locked="0"/>
    </xf>
    <xf numFmtId="9" fontId="6" fillId="5" borderId="1" xfId="0" applyNumberFormat="1" applyFont="1" applyFill="1" applyBorder="1" applyAlignment="1" applyProtection="1">
      <alignment horizontal="center"/>
      <protection locked="0"/>
    </xf>
    <xf numFmtId="166" fontId="1" fillId="5" borderId="1" xfId="0" applyNumberFormat="1" applyFont="1" applyFill="1" applyBorder="1" applyAlignment="1" applyProtection="1">
      <alignment horizontal="center"/>
      <protection locked="0"/>
    </xf>
    <xf numFmtId="16" fontId="0" fillId="5" borderId="1" xfId="0" applyNumberFormat="1" applyFill="1" applyBorder="1" applyAlignment="1" applyProtection="1">
      <alignment horizontal="center"/>
      <protection locked="0"/>
    </xf>
    <xf numFmtId="3" fontId="3" fillId="5" borderId="1" xfId="0" applyNumberFormat="1" applyFont="1" applyFill="1" applyBorder="1" applyAlignment="1" applyProtection="1">
      <alignment horizontal="center"/>
      <protection locked="0"/>
    </xf>
    <xf numFmtId="167" fontId="3" fillId="5" borderId="1" xfId="0" applyNumberFormat="1" applyFont="1" applyFill="1" applyBorder="1" applyAlignment="1" applyProtection="1">
      <alignment horizontal="center"/>
      <protection locked="0"/>
    </xf>
    <xf numFmtId="167" fontId="0" fillId="5" borderId="1" xfId="0" applyNumberFormat="1" applyFill="1" applyBorder="1" applyAlignment="1" applyProtection="1">
      <alignment horizontal="center"/>
      <protection locked="0"/>
    </xf>
    <xf numFmtId="1" fontId="3" fillId="9" borderId="1" xfId="0" applyNumberFormat="1" applyFont="1" applyFill="1" applyBorder="1" applyAlignment="1" applyProtection="1">
      <alignment horizontal="center"/>
      <protection locked="0"/>
    </xf>
    <xf numFmtId="0" fontId="0" fillId="8" borderId="0" xfId="0" applyFill="1" applyProtection="1">
      <protection locked="0"/>
    </xf>
    <xf numFmtId="169" fontId="0" fillId="0" borderId="1" xfId="0" applyNumberFormat="1" applyBorder="1" applyAlignment="1" applyProtection="1">
      <alignment horizontal="center"/>
      <protection locked="0"/>
    </xf>
    <xf numFmtId="0" fontId="12" fillId="2" borderId="1" xfId="0" applyFont="1" applyFill="1" applyBorder="1" applyAlignment="1" applyProtection="1">
      <alignment horizontal="center"/>
      <protection locked="0"/>
    </xf>
    <xf numFmtId="9" fontId="0" fillId="2" borderId="1" xfId="0" applyNumberFormat="1" applyFill="1" applyBorder="1" applyProtection="1">
      <protection locked="0"/>
    </xf>
    <xf numFmtId="165" fontId="0" fillId="4" borderId="1"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protection locked="0"/>
    </xf>
    <xf numFmtId="0" fontId="3" fillId="0" borderId="0" xfId="0" applyFont="1" applyAlignment="1" applyProtection="1">
      <alignment horizontal="left"/>
      <protection locked="0"/>
    </xf>
    <xf numFmtId="0" fontId="0" fillId="0" borderId="11" xfId="0" applyBorder="1"/>
    <xf numFmtId="0" fontId="3" fillId="6" borderId="8" xfId="0" applyFont="1" applyFill="1" applyBorder="1" applyAlignment="1" applyProtection="1">
      <alignment horizontal="center" wrapText="1"/>
      <protection locked="0"/>
    </xf>
    <xf numFmtId="16" fontId="0" fillId="10" borderId="1" xfId="0" applyNumberFormat="1" applyFill="1" applyBorder="1"/>
    <xf numFmtId="0" fontId="2" fillId="0" borderId="0" xfId="0" applyFont="1"/>
    <xf numFmtId="0" fontId="16" fillId="0" borderId="0" xfId="0" applyFont="1"/>
    <xf numFmtId="0" fontId="17" fillId="2" borderId="1" xfId="0" applyFont="1" applyFill="1" applyBorder="1" applyAlignment="1" applyProtection="1">
      <alignment horizontal="center"/>
      <protection locked="0"/>
    </xf>
    <xf numFmtId="0" fontId="16" fillId="0" borderId="1" xfId="0" applyFont="1" applyBorder="1" applyAlignment="1">
      <alignment horizontal="center"/>
    </xf>
    <xf numFmtId="0" fontId="0" fillId="0" borderId="2" xfId="0" applyBorder="1" applyAlignment="1">
      <alignment horizontal="right"/>
    </xf>
    <xf numFmtId="0" fontId="0" fillId="0" borderId="6" xfId="0" applyBorder="1" applyAlignment="1">
      <alignment horizontal="right"/>
    </xf>
    <xf numFmtId="0" fontId="3" fillId="0" borderId="1" xfId="0" applyFont="1" applyBorder="1" applyAlignment="1">
      <alignment horizontal="center"/>
    </xf>
    <xf numFmtId="0" fontId="3" fillId="0" borderId="5" xfId="0" applyFont="1" applyBorder="1" applyAlignment="1">
      <alignment horizontal="center"/>
    </xf>
    <xf numFmtId="0" fontId="2" fillId="0" borderId="1" xfId="0" applyFont="1" applyBorder="1" applyAlignment="1">
      <alignment horizontal="center" wrapText="1"/>
    </xf>
    <xf numFmtId="0" fontId="3" fillId="2" borderId="16" xfId="0" applyFont="1" applyFill="1" applyBorder="1" applyAlignment="1" applyProtection="1">
      <alignment horizontal="center"/>
      <protection locked="0"/>
    </xf>
    <xf numFmtId="9" fontId="3" fillId="2" borderId="16" xfId="0" applyNumberFormat="1" applyFont="1" applyFill="1" applyBorder="1" applyAlignment="1" applyProtection="1">
      <alignment horizontal="center"/>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6" fontId="9" fillId="0" borderId="9" xfId="0" applyNumberFormat="1" applyFont="1" applyBorder="1" applyAlignment="1">
      <alignment horizontal="center" vertical="center"/>
    </xf>
    <xf numFmtId="166" fontId="9" fillId="0" borderId="2" xfId="0" applyNumberFormat="1" applyFont="1" applyBorder="1" applyAlignment="1">
      <alignment horizontal="center" vertical="center"/>
    </xf>
    <xf numFmtId="0" fontId="3" fillId="4" borderId="1" xfId="0" applyFont="1" applyFill="1" applyBorder="1" applyAlignment="1" applyProtection="1">
      <alignment horizontal="center"/>
      <protection locked="0"/>
    </xf>
    <xf numFmtId="0" fontId="0" fillId="4" borderId="1" xfId="0" applyFill="1" applyBorder="1" applyAlignment="1" applyProtection="1">
      <alignment horizontal="center"/>
      <protection locked="0"/>
    </xf>
    <xf numFmtId="0" fontId="4" fillId="0" borderId="0" xfId="0" applyFont="1" applyAlignment="1">
      <alignment horizontal="right"/>
    </xf>
    <xf numFmtId="15" fontId="4" fillId="0" borderId="1" xfId="0" applyNumberFormat="1" applyFont="1" applyBorder="1" applyAlignment="1">
      <alignment horizontal="center"/>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lignment horizontal="left" vertical="center" wrapText="1"/>
    </xf>
    <xf numFmtId="3" fontId="3" fillId="9"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164" fontId="3" fillId="2" borderId="16" xfId="0" applyNumberFormat="1" applyFont="1" applyFill="1" applyBorder="1" applyAlignment="1" applyProtection="1">
      <alignment horizontal="center" wrapText="1"/>
      <protection locked="0"/>
    </xf>
    <xf numFmtId="0" fontId="0" fillId="7" borderId="6" xfId="0" applyFill="1" applyBorder="1" applyAlignment="1">
      <alignment horizontal="center"/>
    </xf>
    <xf numFmtId="0" fontId="0" fillId="7" borderId="4" xfId="0" applyFill="1" applyBorder="1" applyAlignment="1">
      <alignment horizontal="center"/>
    </xf>
    <xf numFmtId="0" fontId="3" fillId="2" borderId="5"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0" fontId="3" fillId="2" borderId="8" xfId="0" applyFont="1" applyFill="1" applyBorder="1" applyAlignment="1" applyProtection="1">
      <alignment horizontal="center" wrapText="1"/>
      <protection locked="0"/>
    </xf>
    <xf numFmtId="0" fontId="1" fillId="9" borderId="1" xfId="0" applyFont="1" applyFill="1" applyBorder="1" applyAlignment="1">
      <alignment horizontal="left" vertical="center" wrapText="1"/>
    </xf>
    <xf numFmtId="0" fontId="8" fillId="0" borderId="8" xfId="0" applyFont="1" applyBorder="1" applyAlignment="1">
      <alignment horizontal="left"/>
    </xf>
    <xf numFmtId="0" fontId="3" fillId="5" borderId="5"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2963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Expected effect of OA vaporizations </a:t>
            </a:r>
          </a:p>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on a strong double-deep colony</a:t>
            </a:r>
          </a:p>
        </c:rich>
      </c:tx>
      <c:layout>
        <c:manualLayout>
          <c:xMode val="edge"/>
          <c:yMode val="edge"/>
          <c:x val="0.3249487741520205"/>
          <c:y val="8.4068736826421343E-3"/>
        </c:manualLayout>
      </c:layout>
      <c:overlay val="0"/>
      <c:spPr>
        <a:noFill/>
        <a:ln>
          <a:noFill/>
        </a:ln>
        <a:effectLst/>
      </c:spPr>
    </c:title>
    <c:autoTitleDeleted val="0"/>
    <c:plotArea>
      <c:layout>
        <c:manualLayout>
          <c:layoutTarget val="inner"/>
          <c:xMode val="edge"/>
          <c:yMode val="edge"/>
          <c:x val="6.8488080190753101E-2"/>
          <c:y val="0.20561232695875417"/>
          <c:w val="0.87503925907822211"/>
          <c:h val="0.54252199638630116"/>
        </c:manualLayout>
      </c:layout>
      <c:barChart>
        <c:barDir val="col"/>
        <c:grouping val="clustered"/>
        <c:varyColors val="0"/>
        <c:ser>
          <c:idx val="0"/>
          <c:order val="3"/>
          <c:tx>
            <c:v>Expected 48-hr mite drop</c:v>
          </c:tx>
          <c:spPr>
            <a:ln>
              <a:solidFill>
                <a:schemeClr val="tx1"/>
              </a:solidFill>
            </a:ln>
          </c:spPr>
          <c:invertIfNegative val="0"/>
          <c:dLbls>
            <c:spPr>
              <a:noFill/>
              <a:ln>
                <a:noFill/>
              </a:ln>
              <a:effectLst/>
            </c:spPr>
            <c:txPr>
              <a:bodyPr wrap="square" lIns="38100" tIns="19050" rIns="38100" bIns="19050" anchor="ctr">
                <a:spAutoFit/>
              </a:bodyPr>
              <a:lstStyle/>
              <a:p>
                <a:pPr>
                  <a:defRPr>
                    <a:solidFill>
                      <a:srgbClr val="2963A9"/>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'OAV model'!$CJ$69:$CJ$129</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model'!$DG$69:$DG$129</c:f>
              <c:numCache>
                <c:formatCode>0</c:formatCode>
                <c:ptCount val="61"/>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0-DFD5-4C9C-8CD5-E741EA2DC055}"/>
            </c:ext>
          </c:extLst>
        </c:ser>
        <c:dLbls>
          <c:showLegendKey val="0"/>
          <c:showVal val="0"/>
          <c:showCatName val="0"/>
          <c:showSerName val="0"/>
          <c:showPercent val="0"/>
          <c:showBubbleSize val="0"/>
        </c:dLbls>
        <c:gapWidth val="0"/>
        <c:overlap val="100"/>
        <c:axId val="62124496"/>
        <c:axId val="62124976"/>
        <c:extLst/>
      </c:barChart>
      <c:barChart>
        <c:barDir val="col"/>
        <c:grouping val="clustered"/>
        <c:varyColors val="0"/>
        <c:ser>
          <c:idx val="3"/>
          <c:order val="2"/>
          <c:tx>
            <c:strRef>
              <c:f>'OAV model'!$DF$56</c:f>
              <c:strCache>
                <c:ptCount val="1"/>
                <c:pt idx="0">
                  <c:v>Expected 24-hr mite drop count</c:v>
                </c:pt>
              </c:strCache>
            </c:strRef>
          </c:tx>
          <c:spPr>
            <a:noFill/>
            <a:ln w="28575">
              <a:noFill/>
            </a:ln>
          </c:spPr>
          <c:invertIfNegative val="0"/>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'OAV model'!$CJ$69:$CJ$129</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model'!$DF$69:$DF$129</c:f>
              <c:numCache>
                <c:formatCode>0</c:formatCode>
                <c:ptCount val="61"/>
                <c:pt idx="0">
                  <c:v>23.800894715415833</c:v>
                </c:pt>
                <c:pt idx="2">
                  <c:v>24.981977797511195</c:v>
                </c:pt>
                <c:pt idx="4">
                  <c:v>26.151837956474481</c:v>
                </c:pt>
                <c:pt idx="6">
                  <c:v>27.315804099389197</c:v>
                </c:pt>
                <c:pt idx="8">
                  <c:v>28.480655523076496</c:v>
                </c:pt>
                <c:pt idx="10">
                  <c:v>29.653389413372373</c:v>
                </c:pt>
                <c:pt idx="12">
                  <c:v>30.840627225633867</c:v>
                </c:pt>
                <c:pt idx="14">
                  <c:v>31.498494577882127</c:v>
                </c:pt>
                <c:pt idx="16">
                  <c:v>32.379535244462716</c:v>
                </c:pt>
                <c:pt idx="18">
                  <c:v>33.430354820177627</c:v>
                </c:pt>
                <c:pt idx="20">
                  <c:v>34.611418860163795</c:v>
                </c:pt>
                <c:pt idx="22">
                  <c:v>35.894268337471082</c:v>
                </c:pt>
                <c:pt idx="24">
                  <c:v>37.259034833159888</c:v>
                </c:pt>
                <c:pt idx="26">
                  <c:v>38.641412271136439</c:v>
                </c:pt>
                <c:pt idx="28">
                  <c:v>39.939893059597836</c:v>
                </c:pt>
                <c:pt idx="30">
                  <c:v>41.2389273555115</c:v>
                </c:pt>
                <c:pt idx="32">
                  <c:v>42.588338402726393</c:v>
                </c:pt>
                <c:pt idx="34">
                  <c:v>44.015251559610434</c:v>
                </c:pt>
                <c:pt idx="36">
                  <c:v>45.532480613515126</c:v>
                </c:pt>
                <c:pt idx="38">
                  <c:v>47.144275554595211</c:v>
                </c:pt>
                <c:pt idx="40">
                  <c:v>48.819659144687854</c:v>
                </c:pt>
                <c:pt idx="42">
                  <c:v>50.525822580773934</c:v>
                </c:pt>
                <c:pt idx="44">
                  <c:v>52.260771008663568</c:v>
                </c:pt>
                <c:pt idx="46">
                  <c:v>54.036553712073307</c:v>
                </c:pt>
                <c:pt idx="48">
                  <c:v>55.869713301942625</c:v>
                </c:pt>
                <c:pt idx="50">
                  <c:v>57.776291071177802</c:v>
                </c:pt>
                <c:pt idx="52">
                  <c:v>59.768162906764033</c:v>
                </c:pt>
                <c:pt idx="54">
                  <c:v>61.842533457192125</c:v>
                </c:pt>
                <c:pt idx="56">
                  <c:v>63.989926667008049</c:v>
                </c:pt>
                <c:pt idx="58">
                  <c:v>66.203812056135334</c:v>
                </c:pt>
                <c:pt idx="60">
                  <c:v>68.483448776154532</c:v>
                </c:pt>
              </c:numCache>
            </c:numRef>
          </c:val>
          <c:extLst>
            <c:ext xmlns:c16="http://schemas.microsoft.com/office/drawing/2014/chart" uri="{C3380CC4-5D6E-409C-BE32-E72D297353CC}">
              <c16:uniqueId val="{00000001-DFD5-4C9C-8CD5-E741EA2DC055}"/>
            </c:ext>
          </c:extLst>
        </c:ser>
        <c:dLbls>
          <c:showLegendKey val="0"/>
          <c:showVal val="0"/>
          <c:showCatName val="0"/>
          <c:showSerName val="0"/>
          <c:showPercent val="0"/>
          <c:showBubbleSize val="0"/>
        </c:dLbls>
        <c:gapWidth val="0"/>
        <c:overlap val="100"/>
        <c:axId val="385048032"/>
        <c:axId val="385026432"/>
        <c:extLst/>
      </c:barChart>
      <c:lineChart>
        <c:grouping val="standard"/>
        <c:varyColors val="0"/>
        <c:ser>
          <c:idx val="1"/>
          <c:order val="0"/>
          <c:tx>
            <c:v>Total mite population</c:v>
          </c:tx>
          <c:spPr>
            <a:ln w="28575" cap="rnd">
              <a:solidFill>
                <a:srgbClr val="C00000"/>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DFD5-4C9C-8CD5-E741EA2DC055}"/>
                </c:ext>
              </c:extLst>
            </c:dLbl>
            <c:dLbl>
              <c:idx val="2"/>
              <c:delete val="1"/>
              <c:extLst>
                <c:ext xmlns:c15="http://schemas.microsoft.com/office/drawing/2012/chart" uri="{CE6537A1-D6FC-4f65-9D91-7224C49458BB}"/>
                <c:ext xmlns:c16="http://schemas.microsoft.com/office/drawing/2014/chart" uri="{C3380CC4-5D6E-409C-BE32-E72D297353CC}">
                  <c16:uniqueId val="{00000004-DFD5-4C9C-8CD5-E741EA2DC055}"/>
                </c:ext>
              </c:extLst>
            </c:dLbl>
            <c:dLbl>
              <c:idx val="4"/>
              <c:delete val="1"/>
              <c:extLst>
                <c:ext xmlns:c15="http://schemas.microsoft.com/office/drawing/2012/chart" uri="{CE6537A1-D6FC-4f65-9D91-7224C49458BB}"/>
                <c:ext xmlns:c16="http://schemas.microsoft.com/office/drawing/2014/chart" uri="{C3380CC4-5D6E-409C-BE32-E72D297353CC}">
                  <c16:uniqueId val="{00000006-DFD5-4C9C-8CD5-E741EA2DC055}"/>
                </c:ext>
              </c:extLst>
            </c:dLbl>
            <c:dLbl>
              <c:idx val="5"/>
              <c:delete val="1"/>
              <c:extLst>
                <c:ext xmlns:c15="http://schemas.microsoft.com/office/drawing/2012/chart" uri="{CE6537A1-D6FC-4f65-9D91-7224C49458BB}"/>
                <c:ext xmlns:c16="http://schemas.microsoft.com/office/drawing/2014/chart" uri="{C3380CC4-5D6E-409C-BE32-E72D297353CC}">
                  <c16:uniqueId val="{00000007-DFD5-4C9C-8CD5-E741EA2DC055}"/>
                </c:ext>
              </c:extLst>
            </c:dLbl>
            <c:dLbl>
              <c:idx val="6"/>
              <c:delete val="1"/>
              <c:extLst>
                <c:ext xmlns:c15="http://schemas.microsoft.com/office/drawing/2012/chart" uri="{CE6537A1-D6FC-4f65-9D91-7224C49458BB}"/>
                <c:ext xmlns:c16="http://schemas.microsoft.com/office/drawing/2014/chart" uri="{C3380CC4-5D6E-409C-BE32-E72D297353CC}">
                  <c16:uniqueId val="{00000008-DFD5-4C9C-8CD5-E741EA2DC055}"/>
                </c:ext>
              </c:extLst>
            </c:dLbl>
            <c:dLbl>
              <c:idx val="7"/>
              <c:delete val="1"/>
              <c:extLst>
                <c:ext xmlns:c15="http://schemas.microsoft.com/office/drawing/2012/chart" uri="{CE6537A1-D6FC-4f65-9D91-7224C49458BB}"/>
                <c:ext xmlns:c16="http://schemas.microsoft.com/office/drawing/2014/chart" uri="{C3380CC4-5D6E-409C-BE32-E72D297353CC}">
                  <c16:uniqueId val="{00000009-DFD5-4C9C-8CD5-E741EA2DC055}"/>
                </c:ext>
              </c:extLst>
            </c:dLbl>
            <c:dLbl>
              <c:idx val="9"/>
              <c:delete val="1"/>
              <c:extLst>
                <c:ext xmlns:c15="http://schemas.microsoft.com/office/drawing/2012/chart" uri="{CE6537A1-D6FC-4f65-9D91-7224C49458BB}"/>
                <c:ext xmlns:c16="http://schemas.microsoft.com/office/drawing/2014/chart" uri="{C3380CC4-5D6E-409C-BE32-E72D297353CC}">
                  <c16:uniqueId val="{0000000B-DFD5-4C9C-8CD5-E741EA2DC055}"/>
                </c:ext>
              </c:extLst>
            </c:dLbl>
            <c:dLbl>
              <c:idx val="10"/>
              <c:delete val="1"/>
              <c:extLst>
                <c:ext xmlns:c15="http://schemas.microsoft.com/office/drawing/2012/chart" uri="{CE6537A1-D6FC-4f65-9D91-7224C49458BB}"/>
                <c:ext xmlns:c16="http://schemas.microsoft.com/office/drawing/2014/chart" uri="{C3380CC4-5D6E-409C-BE32-E72D297353CC}">
                  <c16:uniqueId val="{0000000C-DFD5-4C9C-8CD5-E741EA2DC055}"/>
                </c:ext>
              </c:extLst>
            </c:dLbl>
            <c:dLbl>
              <c:idx val="11"/>
              <c:delete val="1"/>
              <c:extLst>
                <c:ext xmlns:c15="http://schemas.microsoft.com/office/drawing/2012/chart" uri="{CE6537A1-D6FC-4f65-9D91-7224C49458BB}"/>
                <c:ext xmlns:c16="http://schemas.microsoft.com/office/drawing/2014/chart" uri="{C3380CC4-5D6E-409C-BE32-E72D297353CC}">
                  <c16:uniqueId val="{0000000D-DFD5-4C9C-8CD5-E741EA2DC055}"/>
                </c:ext>
              </c:extLst>
            </c:dLbl>
            <c:dLbl>
              <c:idx val="12"/>
              <c:delete val="1"/>
              <c:extLst>
                <c:ext xmlns:c15="http://schemas.microsoft.com/office/drawing/2012/chart" uri="{CE6537A1-D6FC-4f65-9D91-7224C49458BB}"/>
                <c:ext xmlns:c16="http://schemas.microsoft.com/office/drawing/2014/chart" uri="{C3380CC4-5D6E-409C-BE32-E72D297353CC}">
                  <c16:uniqueId val="{0000000E-DFD5-4C9C-8CD5-E741EA2DC055}"/>
                </c:ext>
              </c:extLst>
            </c:dLbl>
            <c:dLbl>
              <c:idx val="14"/>
              <c:delete val="1"/>
              <c:extLst>
                <c:ext xmlns:c15="http://schemas.microsoft.com/office/drawing/2012/chart" uri="{CE6537A1-D6FC-4f65-9D91-7224C49458BB}"/>
                <c:ext xmlns:c16="http://schemas.microsoft.com/office/drawing/2014/chart" uri="{C3380CC4-5D6E-409C-BE32-E72D297353CC}">
                  <c16:uniqueId val="{00000010-DFD5-4C9C-8CD5-E741EA2DC055}"/>
                </c:ext>
              </c:extLst>
            </c:dLbl>
            <c:dLbl>
              <c:idx val="15"/>
              <c:delete val="1"/>
              <c:extLst>
                <c:ext xmlns:c15="http://schemas.microsoft.com/office/drawing/2012/chart" uri="{CE6537A1-D6FC-4f65-9D91-7224C49458BB}"/>
                <c:ext xmlns:c16="http://schemas.microsoft.com/office/drawing/2014/chart" uri="{C3380CC4-5D6E-409C-BE32-E72D297353CC}">
                  <c16:uniqueId val="{00000011-DFD5-4C9C-8CD5-E741EA2DC055}"/>
                </c:ext>
              </c:extLst>
            </c:dLbl>
            <c:dLbl>
              <c:idx val="16"/>
              <c:delete val="1"/>
              <c:extLst>
                <c:ext xmlns:c15="http://schemas.microsoft.com/office/drawing/2012/chart" uri="{CE6537A1-D6FC-4f65-9D91-7224C49458BB}"/>
                <c:ext xmlns:c16="http://schemas.microsoft.com/office/drawing/2014/chart" uri="{C3380CC4-5D6E-409C-BE32-E72D297353CC}">
                  <c16:uniqueId val="{00000012-DFD5-4C9C-8CD5-E741EA2DC055}"/>
                </c:ext>
              </c:extLst>
            </c:dLbl>
            <c:dLbl>
              <c:idx val="17"/>
              <c:delete val="1"/>
              <c:extLst>
                <c:ext xmlns:c15="http://schemas.microsoft.com/office/drawing/2012/chart" uri="{CE6537A1-D6FC-4f65-9D91-7224C49458BB}"/>
                <c:ext xmlns:c16="http://schemas.microsoft.com/office/drawing/2014/chart" uri="{C3380CC4-5D6E-409C-BE32-E72D297353CC}">
                  <c16:uniqueId val="{00000013-DFD5-4C9C-8CD5-E741EA2DC055}"/>
                </c:ext>
              </c:extLst>
            </c:dLbl>
            <c:dLbl>
              <c:idx val="18"/>
              <c:delete val="1"/>
              <c:extLst>
                <c:ext xmlns:c15="http://schemas.microsoft.com/office/drawing/2012/chart" uri="{CE6537A1-D6FC-4f65-9D91-7224C49458BB}"/>
                <c:ext xmlns:c16="http://schemas.microsoft.com/office/drawing/2014/chart" uri="{C3380CC4-5D6E-409C-BE32-E72D297353CC}">
                  <c16:uniqueId val="{00000014-DFD5-4C9C-8CD5-E741EA2DC055}"/>
                </c:ext>
              </c:extLst>
            </c:dLbl>
            <c:dLbl>
              <c:idx val="19"/>
              <c:delete val="1"/>
              <c:extLst>
                <c:ext xmlns:c15="http://schemas.microsoft.com/office/drawing/2012/chart" uri="{CE6537A1-D6FC-4f65-9D91-7224C49458BB}"/>
                <c:ext xmlns:c16="http://schemas.microsoft.com/office/drawing/2014/chart" uri="{C3380CC4-5D6E-409C-BE32-E72D297353CC}">
                  <c16:uniqueId val="{00000015-DFD5-4C9C-8CD5-E741EA2DC055}"/>
                </c:ext>
              </c:extLst>
            </c:dLbl>
            <c:dLbl>
              <c:idx val="21"/>
              <c:delete val="1"/>
              <c:extLst>
                <c:ext xmlns:c15="http://schemas.microsoft.com/office/drawing/2012/chart" uri="{CE6537A1-D6FC-4f65-9D91-7224C49458BB}"/>
                <c:ext xmlns:c16="http://schemas.microsoft.com/office/drawing/2014/chart" uri="{C3380CC4-5D6E-409C-BE32-E72D297353CC}">
                  <c16:uniqueId val="{00000017-DFD5-4C9C-8CD5-E741EA2DC055}"/>
                </c:ext>
              </c:extLst>
            </c:dLbl>
            <c:dLbl>
              <c:idx val="22"/>
              <c:delete val="1"/>
              <c:extLst>
                <c:ext xmlns:c15="http://schemas.microsoft.com/office/drawing/2012/chart" uri="{CE6537A1-D6FC-4f65-9D91-7224C49458BB}"/>
                <c:ext xmlns:c16="http://schemas.microsoft.com/office/drawing/2014/chart" uri="{C3380CC4-5D6E-409C-BE32-E72D297353CC}">
                  <c16:uniqueId val="{00000018-DFD5-4C9C-8CD5-E741EA2DC055}"/>
                </c:ext>
              </c:extLst>
            </c:dLbl>
            <c:dLbl>
              <c:idx val="23"/>
              <c:delete val="1"/>
              <c:extLst>
                <c:ext xmlns:c15="http://schemas.microsoft.com/office/drawing/2012/chart" uri="{CE6537A1-D6FC-4f65-9D91-7224C49458BB}"/>
                <c:ext xmlns:c16="http://schemas.microsoft.com/office/drawing/2014/chart" uri="{C3380CC4-5D6E-409C-BE32-E72D297353CC}">
                  <c16:uniqueId val="{00000019-DFD5-4C9C-8CD5-E741EA2DC055}"/>
                </c:ext>
              </c:extLst>
            </c:dLbl>
            <c:dLbl>
              <c:idx val="24"/>
              <c:delete val="1"/>
              <c:extLst>
                <c:ext xmlns:c15="http://schemas.microsoft.com/office/drawing/2012/chart" uri="{CE6537A1-D6FC-4f65-9D91-7224C49458BB}"/>
                <c:ext xmlns:c16="http://schemas.microsoft.com/office/drawing/2014/chart" uri="{C3380CC4-5D6E-409C-BE32-E72D297353CC}">
                  <c16:uniqueId val="{0000001A-DFD5-4C9C-8CD5-E741EA2DC055}"/>
                </c:ext>
              </c:extLst>
            </c:dLbl>
            <c:dLbl>
              <c:idx val="25"/>
              <c:delete val="1"/>
              <c:extLst>
                <c:ext xmlns:c15="http://schemas.microsoft.com/office/drawing/2012/chart" uri="{CE6537A1-D6FC-4f65-9D91-7224C49458BB}"/>
                <c:ext xmlns:c16="http://schemas.microsoft.com/office/drawing/2014/chart" uri="{C3380CC4-5D6E-409C-BE32-E72D297353CC}">
                  <c16:uniqueId val="{0000001B-DFD5-4C9C-8CD5-E741EA2DC055}"/>
                </c:ext>
              </c:extLst>
            </c:dLbl>
            <c:dLbl>
              <c:idx val="26"/>
              <c:delete val="1"/>
              <c:extLst>
                <c:ext xmlns:c15="http://schemas.microsoft.com/office/drawing/2012/chart" uri="{CE6537A1-D6FC-4f65-9D91-7224C49458BB}"/>
                <c:ext xmlns:c16="http://schemas.microsoft.com/office/drawing/2014/chart" uri="{C3380CC4-5D6E-409C-BE32-E72D297353CC}">
                  <c16:uniqueId val="{0000001C-DFD5-4C9C-8CD5-E741EA2DC055}"/>
                </c:ext>
              </c:extLst>
            </c:dLbl>
            <c:dLbl>
              <c:idx val="28"/>
              <c:delete val="1"/>
              <c:extLst>
                <c:ext xmlns:c15="http://schemas.microsoft.com/office/drawing/2012/chart" uri="{CE6537A1-D6FC-4f65-9D91-7224C49458BB}"/>
                <c:ext xmlns:c16="http://schemas.microsoft.com/office/drawing/2014/chart" uri="{C3380CC4-5D6E-409C-BE32-E72D297353CC}">
                  <c16:uniqueId val="{0000001E-DFD5-4C9C-8CD5-E741EA2DC055}"/>
                </c:ext>
              </c:extLst>
            </c:dLbl>
            <c:dLbl>
              <c:idx val="29"/>
              <c:delete val="1"/>
              <c:extLst>
                <c:ext xmlns:c15="http://schemas.microsoft.com/office/drawing/2012/chart" uri="{CE6537A1-D6FC-4f65-9D91-7224C49458BB}"/>
                <c:ext xmlns:c16="http://schemas.microsoft.com/office/drawing/2014/chart" uri="{C3380CC4-5D6E-409C-BE32-E72D297353CC}">
                  <c16:uniqueId val="{0000001F-DFD5-4C9C-8CD5-E741EA2DC055}"/>
                </c:ext>
              </c:extLst>
            </c:dLbl>
            <c:dLbl>
              <c:idx val="30"/>
              <c:delete val="1"/>
              <c:extLst>
                <c:ext xmlns:c15="http://schemas.microsoft.com/office/drawing/2012/chart" uri="{CE6537A1-D6FC-4f65-9D91-7224C49458BB}"/>
                <c:ext xmlns:c16="http://schemas.microsoft.com/office/drawing/2014/chart" uri="{C3380CC4-5D6E-409C-BE32-E72D297353CC}">
                  <c16:uniqueId val="{00000020-DFD5-4C9C-8CD5-E741EA2DC055}"/>
                </c:ext>
              </c:extLst>
            </c:dLbl>
            <c:dLbl>
              <c:idx val="31"/>
              <c:spPr>
                <a:noFill/>
                <a:ln>
                  <a:noFill/>
                </a:ln>
                <a:effectLst/>
              </c:spPr>
              <c:txPr>
                <a:bodyPr wrap="square" lIns="38100" tIns="19050" rIns="38100" bIns="19050" anchor="ctr">
                  <a:noAutofit/>
                </a:bodyPr>
                <a:lstStyle/>
                <a:p>
                  <a:pPr>
                    <a:defRPr b="1">
                      <a:solidFill>
                        <a:srgbClr val="C00000"/>
                      </a:solidFill>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3.8107451771168199E-2"/>
                      <c:h val="4.9250562457223125E-2"/>
                    </c:manualLayout>
                  </c15:layout>
                </c:ext>
                <c:ext xmlns:c16="http://schemas.microsoft.com/office/drawing/2014/chart" uri="{C3380CC4-5D6E-409C-BE32-E72D297353CC}">
                  <c16:uniqueId val="{00000021-DFD5-4C9C-8CD5-E741EA2DC055}"/>
                </c:ext>
              </c:extLst>
            </c:dLbl>
            <c:dLbl>
              <c:idx val="32"/>
              <c:delete val="1"/>
              <c:extLst>
                <c:ext xmlns:c15="http://schemas.microsoft.com/office/drawing/2012/chart" uri="{CE6537A1-D6FC-4f65-9D91-7224C49458BB}"/>
                <c:ext xmlns:c16="http://schemas.microsoft.com/office/drawing/2014/chart" uri="{C3380CC4-5D6E-409C-BE32-E72D297353CC}">
                  <c16:uniqueId val="{00000022-DFD5-4C9C-8CD5-E741EA2DC055}"/>
                </c:ext>
              </c:extLst>
            </c:dLbl>
            <c:dLbl>
              <c:idx val="33"/>
              <c:delete val="1"/>
              <c:extLst>
                <c:ext xmlns:c15="http://schemas.microsoft.com/office/drawing/2012/chart" uri="{CE6537A1-D6FC-4f65-9D91-7224C49458BB}"/>
                <c:ext xmlns:c16="http://schemas.microsoft.com/office/drawing/2014/chart" uri="{C3380CC4-5D6E-409C-BE32-E72D297353CC}">
                  <c16:uniqueId val="{00000023-DFD5-4C9C-8CD5-E741EA2DC055}"/>
                </c:ext>
              </c:extLst>
            </c:dLbl>
            <c:dLbl>
              <c:idx val="34"/>
              <c:delete val="1"/>
              <c:extLst>
                <c:ext xmlns:c15="http://schemas.microsoft.com/office/drawing/2012/chart" uri="{CE6537A1-D6FC-4f65-9D91-7224C49458BB}"/>
                <c:ext xmlns:c16="http://schemas.microsoft.com/office/drawing/2014/chart" uri="{C3380CC4-5D6E-409C-BE32-E72D297353CC}">
                  <c16:uniqueId val="{00000024-DFD5-4C9C-8CD5-E741EA2DC055}"/>
                </c:ext>
              </c:extLst>
            </c:dLbl>
            <c:dLbl>
              <c:idx val="36"/>
              <c:delete val="1"/>
              <c:extLst>
                <c:ext xmlns:c15="http://schemas.microsoft.com/office/drawing/2012/chart" uri="{CE6537A1-D6FC-4f65-9D91-7224C49458BB}"/>
                <c:ext xmlns:c16="http://schemas.microsoft.com/office/drawing/2014/chart" uri="{C3380CC4-5D6E-409C-BE32-E72D297353CC}">
                  <c16:uniqueId val="{00000026-DFD5-4C9C-8CD5-E741EA2DC055}"/>
                </c:ext>
              </c:extLst>
            </c:dLbl>
            <c:dLbl>
              <c:idx val="37"/>
              <c:delete val="1"/>
              <c:extLst>
                <c:ext xmlns:c15="http://schemas.microsoft.com/office/drawing/2012/chart" uri="{CE6537A1-D6FC-4f65-9D91-7224C49458BB}"/>
                <c:ext xmlns:c16="http://schemas.microsoft.com/office/drawing/2014/chart" uri="{C3380CC4-5D6E-409C-BE32-E72D297353CC}">
                  <c16:uniqueId val="{00000027-DFD5-4C9C-8CD5-E741EA2DC055}"/>
                </c:ext>
              </c:extLst>
            </c:dLbl>
            <c:dLbl>
              <c:idx val="38"/>
              <c:delete val="1"/>
              <c:extLst>
                <c:ext xmlns:c15="http://schemas.microsoft.com/office/drawing/2012/chart" uri="{CE6537A1-D6FC-4f65-9D91-7224C49458BB}"/>
                <c:ext xmlns:c16="http://schemas.microsoft.com/office/drawing/2014/chart" uri="{C3380CC4-5D6E-409C-BE32-E72D297353CC}">
                  <c16:uniqueId val="{00000028-DFD5-4C9C-8CD5-E741EA2DC055}"/>
                </c:ext>
              </c:extLst>
            </c:dLbl>
            <c:dLbl>
              <c:idx val="39"/>
              <c:delete val="1"/>
              <c:extLst>
                <c:ext xmlns:c15="http://schemas.microsoft.com/office/drawing/2012/chart" uri="{CE6537A1-D6FC-4f65-9D91-7224C49458BB}"/>
                <c:ext xmlns:c16="http://schemas.microsoft.com/office/drawing/2014/chart" uri="{C3380CC4-5D6E-409C-BE32-E72D297353CC}">
                  <c16:uniqueId val="{00000029-DFD5-4C9C-8CD5-E741EA2DC055}"/>
                </c:ext>
              </c:extLst>
            </c:dLbl>
            <c:dLbl>
              <c:idx val="41"/>
              <c:delete val="1"/>
              <c:extLst>
                <c:ext xmlns:c15="http://schemas.microsoft.com/office/drawing/2012/chart" uri="{CE6537A1-D6FC-4f65-9D91-7224C49458BB}"/>
                <c:ext xmlns:c16="http://schemas.microsoft.com/office/drawing/2014/chart" uri="{C3380CC4-5D6E-409C-BE32-E72D297353CC}">
                  <c16:uniqueId val="{0000002B-DFD5-4C9C-8CD5-E741EA2DC055}"/>
                </c:ext>
              </c:extLst>
            </c:dLbl>
            <c:dLbl>
              <c:idx val="42"/>
              <c:delete val="1"/>
              <c:extLst>
                <c:ext xmlns:c15="http://schemas.microsoft.com/office/drawing/2012/chart" uri="{CE6537A1-D6FC-4f65-9D91-7224C49458BB}"/>
                <c:ext xmlns:c16="http://schemas.microsoft.com/office/drawing/2014/chart" uri="{C3380CC4-5D6E-409C-BE32-E72D297353CC}">
                  <c16:uniqueId val="{0000002C-DFD5-4C9C-8CD5-E741EA2DC055}"/>
                </c:ext>
              </c:extLst>
            </c:dLbl>
            <c:dLbl>
              <c:idx val="43"/>
              <c:delete val="1"/>
              <c:extLst>
                <c:ext xmlns:c15="http://schemas.microsoft.com/office/drawing/2012/chart" uri="{CE6537A1-D6FC-4f65-9D91-7224C49458BB}"/>
                <c:ext xmlns:c16="http://schemas.microsoft.com/office/drawing/2014/chart" uri="{C3380CC4-5D6E-409C-BE32-E72D297353CC}">
                  <c16:uniqueId val="{0000002D-DFD5-4C9C-8CD5-E741EA2DC055}"/>
                </c:ext>
              </c:extLst>
            </c:dLbl>
            <c:dLbl>
              <c:idx val="44"/>
              <c:delete val="1"/>
              <c:extLst>
                <c:ext xmlns:c15="http://schemas.microsoft.com/office/drawing/2012/chart" uri="{CE6537A1-D6FC-4f65-9D91-7224C49458BB}"/>
                <c:ext xmlns:c16="http://schemas.microsoft.com/office/drawing/2014/chart" uri="{C3380CC4-5D6E-409C-BE32-E72D297353CC}">
                  <c16:uniqueId val="{0000002E-DFD5-4C9C-8CD5-E741EA2DC055}"/>
                </c:ext>
              </c:extLst>
            </c:dLbl>
            <c:dLbl>
              <c:idx val="45"/>
              <c:delete val="1"/>
              <c:extLst>
                <c:ext xmlns:c15="http://schemas.microsoft.com/office/drawing/2012/chart" uri="{CE6537A1-D6FC-4f65-9D91-7224C49458BB}"/>
                <c:ext xmlns:c16="http://schemas.microsoft.com/office/drawing/2014/chart" uri="{C3380CC4-5D6E-409C-BE32-E72D297353CC}">
                  <c16:uniqueId val="{0000002F-DFD5-4C9C-8CD5-E741EA2DC055}"/>
                </c:ext>
              </c:extLst>
            </c:dLbl>
            <c:dLbl>
              <c:idx val="47"/>
              <c:delete val="1"/>
              <c:extLst>
                <c:ext xmlns:c15="http://schemas.microsoft.com/office/drawing/2012/chart" uri="{CE6537A1-D6FC-4f65-9D91-7224C49458BB}"/>
                <c:ext xmlns:c16="http://schemas.microsoft.com/office/drawing/2014/chart" uri="{C3380CC4-5D6E-409C-BE32-E72D297353CC}">
                  <c16:uniqueId val="{00000031-DFD5-4C9C-8CD5-E741EA2DC055}"/>
                </c:ext>
              </c:extLst>
            </c:dLbl>
            <c:dLbl>
              <c:idx val="48"/>
              <c:delete val="1"/>
              <c:extLst>
                <c:ext xmlns:c15="http://schemas.microsoft.com/office/drawing/2012/chart" uri="{CE6537A1-D6FC-4f65-9D91-7224C49458BB}"/>
                <c:ext xmlns:c16="http://schemas.microsoft.com/office/drawing/2014/chart" uri="{C3380CC4-5D6E-409C-BE32-E72D297353CC}">
                  <c16:uniqueId val="{00000032-DFD5-4C9C-8CD5-E741EA2DC055}"/>
                </c:ext>
              </c:extLst>
            </c:dLbl>
            <c:dLbl>
              <c:idx val="49"/>
              <c:delete val="1"/>
              <c:extLst>
                <c:ext xmlns:c15="http://schemas.microsoft.com/office/drawing/2012/chart" uri="{CE6537A1-D6FC-4f65-9D91-7224C49458BB}"/>
                <c:ext xmlns:c16="http://schemas.microsoft.com/office/drawing/2014/chart" uri="{C3380CC4-5D6E-409C-BE32-E72D297353CC}">
                  <c16:uniqueId val="{00000033-DFD5-4C9C-8CD5-E741EA2DC055}"/>
                </c:ext>
              </c:extLst>
            </c:dLbl>
            <c:dLbl>
              <c:idx val="50"/>
              <c:delete val="1"/>
              <c:extLst>
                <c:ext xmlns:c15="http://schemas.microsoft.com/office/drawing/2012/chart" uri="{CE6537A1-D6FC-4f65-9D91-7224C49458BB}"/>
                <c:ext xmlns:c16="http://schemas.microsoft.com/office/drawing/2014/chart" uri="{C3380CC4-5D6E-409C-BE32-E72D297353CC}">
                  <c16:uniqueId val="{00000034-DFD5-4C9C-8CD5-E741EA2DC055}"/>
                </c:ext>
              </c:extLst>
            </c:dLbl>
            <c:dLbl>
              <c:idx val="52"/>
              <c:delete val="1"/>
              <c:extLst>
                <c:ext xmlns:c15="http://schemas.microsoft.com/office/drawing/2012/chart" uri="{CE6537A1-D6FC-4f65-9D91-7224C49458BB}"/>
                <c:ext xmlns:c16="http://schemas.microsoft.com/office/drawing/2014/chart" uri="{C3380CC4-5D6E-409C-BE32-E72D297353CC}">
                  <c16:uniqueId val="{00000036-DFD5-4C9C-8CD5-E741EA2DC055}"/>
                </c:ext>
              </c:extLst>
            </c:dLbl>
            <c:dLbl>
              <c:idx val="53"/>
              <c:delete val="1"/>
              <c:extLst>
                <c:ext xmlns:c15="http://schemas.microsoft.com/office/drawing/2012/chart" uri="{CE6537A1-D6FC-4f65-9D91-7224C49458BB}"/>
                <c:ext xmlns:c16="http://schemas.microsoft.com/office/drawing/2014/chart" uri="{C3380CC4-5D6E-409C-BE32-E72D297353CC}">
                  <c16:uniqueId val="{00000037-DFD5-4C9C-8CD5-E741EA2DC055}"/>
                </c:ext>
              </c:extLst>
            </c:dLbl>
            <c:dLbl>
              <c:idx val="54"/>
              <c:delete val="1"/>
              <c:extLst>
                <c:ext xmlns:c15="http://schemas.microsoft.com/office/drawing/2012/chart" uri="{CE6537A1-D6FC-4f65-9D91-7224C49458BB}"/>
                <c:ext xmlns:c16="http://schemas.microsoft.com/office/drawing/2014/chart" uri="{C3380CC4-5D6E-409C-BE32-E72D297353CC}">
                  <c16:uniqueId val="{00000038-DFD5-4C9C-8CD5-E741EA2DC055}"/>
                </c:ext>
              </c:extLst>
            </c:dLbl>
            <c:dLbl>
              <c:idx val="55"/>
              <c:layout>
                <c:manualLayout>
                  <c:x val="-2.3333160723310285E-2"/>
                  <c:y val="-4.3262207870521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DFD5-4C9C-8CD5-E741EA2DC055}"/>
                </c:ext>
              </c:extLst>
            </c:dLbl>
            <c:dLbl>
              <c:idx val="56"/>
              <c:delete val="1"/>
              <c:extLst>
                <c:ext xmlns:c15="http://schemas.microsoft.com/office/drawing/2012/chart" uri="{CE6537A1-D6FC-4f65-9D91-7224C49458BB}"/>
                <c:ext xmlns:c16="http://schemas.microsoft.com/office/drawing/2014/chart" uri="{C3380CC4-5D6E-409C-BE32-E72D297353CC}">
                  <c16:uniqueId val="{0000003A-DFD5-4C9C-8CD5-E741EA2DC055}"/>
                </c:ext>
              </c:extLst>
            </c:dLbl>
            <c:dLbl>
              <c:idx val="57"/>
              <c:delete val="1"/>
              <c:extLst>
                <c:ext xmlns:c15="http://schemas.microsoft.com/office/drawing/2012/chart" uri="{CE6537A1-D6FC-4f65-9D91-7224C49458BB}"/>
                <c:ext xmlns:c16="http://schemas.microsoft.com/office/drawing/2014/chart" uri="{C3380CC4-5D6E-409C-BE32-E72D297353CC}">
                  <c16:uniqueId val="{0000003B-DFD5-4C9C-8CD5-E741EA2DC055}"/>
                </c:ext>
              </c:extLst>
            </c:dLbl>
            <c:dLbl>
              <c:idx val="58"/>
              <c:delete val="1"/>
              <c:extLst>
                <c:ext xmlns:c15="http://schemas.microsoft.com/office/drawing/2012/chart" uri="{CE6537A1-D6FC-4f65-9D91-7224C49458BB}"/>
                <c:ext xmlns:c16="http://schemas.microsoft.com/office/drawing/2014/chart" uri="{C3380CC4-5D6E-409C-BE32-E72D297353CC}">
                  <c16:uniqueId val="{0000003C-DFD5-4C9C-8CD5-E741EA2DC055}"/>
                </c:ext>
              </c:extLst>
            </c:dLbl>
            <c:dLbl>
              <c:idx val="59"/>
              <c:tx>
                <c:rich>
                  <a:bodyPr wrap="square" lIns="38100" tIns="19050" rIns="38100" bIns="19050" anchor="ctr">
                    <a:noAutofit/>
                  </a:bodyPr>
                  <a:lstStyle/>
                  <a:p>
                    <a:pPr>
                      <a:defRPr b="1">
                        <a:solidFill>
                          <a:srgbClr val="C00000"/>
                        </a:solidFill>
                      </a:defRPr>
                    </a:pPr>
                    <a:endParaRPr lang="en-US">
                      <a:solidFill>
                        <a:srgbClr val="C00000"/>
                      </a:solidFill>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layout>
                    <c:manualLayout>
                      <c:w val="2.0612668886372067E-2"/>
                      <c:h val="4.1640544220970584E-2"/>
                    </c:manualLayout>
                  </c15:layout>
                  <c15:showDataLabelsRange val="0"/>
                </c:ext>
                <c:ext xmlns:c16="http://schemas.microsoft.com/office/drawing/2014/chart" uri="{C3380CC4-5D6E-409C-BE32-E72D297353CC}">
                  <c16:uniqueId val="{0000003D-DFD5-4C9C-8CD5-E741EA2DC055}"/>
                </c:ext>
              </c:extLst>
            </c:dLbl>
            <c:dLbl>
              <c:idx val="60"/>
              <c:delete val="1"/>
              <c:extLst>
                <c:ext xmlns:c15="http://schemas.microsoft.com/office/drawing/2012/chart" uri="{CE6537A1-D6FC-4f65-9D91-7224C49458BB}"/>
                <c:ext xmlns:c16="http://schemas.microsoft.com/office/drawing/2014/chart" uri="{C3380CC4-5D6E-409C-BE32-E72D297353CC}">
                  <c16:uniqueId val="{0000003E-DFD5-4C9C-8CD5-E741EA2DC055}"/>
                </c:ext>
              </c:extLst>
            </c:dLbl>
            <c:spPr>
              <a:noFill/>
              <a:ln>
                <a:noFill/>
              </a:ln>
              <a:effectLst/>
            </c:spPr>
            <c:txPr>
              <a:bodyPr wrap="square" lIns="38100" tIns="19050" rIns="38100" bIns="19050" anchor="ctr">
                <a:spAutoFit/>
              </a:bodyPr>
              <a:lstStyle/>
              <a:p>
                <a:pPr>
                  <a:defRPr b="1">
                    <a:solidFill>
                      <a:srgbClr val="C0000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'OAV model'!$EG$69:$EG$129</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model'!$CL$69:$CL$129</c:f>
              <c:numCache>
                <c:formatCode>0</c:formatCode>
                <c:ptCount val="61"/>
                <c:pt idx="0">
                  <c:v>1016.8757488715064</c:v>
                </c:pt>
                <c:pt idx="1">
                  <c:v>1033.2003948265956</c:v>
                </c:pt>
                <c:pt idx="2">
                  <c:v>1050.2090149603334</c:v>
                </c:pt>
                <c:pt idx="3">
                  <c:v>1067.830501479554</c:v>
                </c:pt>
                <c:pt idx="4">
                  <c:v>1086.010603005489</c:v>
                </c:pt>
                <c:pt idx="5">
                  <c:v>1104.7082550721771</c:v>
                </c:pt>
                <c:pt idx="6">
                  <c:v>1123.8927186421386</c:v>
                </c:pt>
                <c:pt idx="7">
                  <c:v>1143.5413484295495</c:v>
                </c:pt>
                <c:pt idx="8">
                  <c:v>1163.6378521751064</c:v>
                </c:pt>
                <c:pt idx="9">
                  <c:v>1184.1709326745399</c:v>
                </c:pt>
                <c:pt idx="10">
                  <c:v>1205.1332282466717</c:v>
                </c:pt>
                <c:pt idx="11">
                  <c:v>1226.520485934213</c:v>
                </c:pt>
                <c:pt idx="12">
                  <c:v>1248.3309162275641</c:v>
                </c:pt>
                <c:pt idx="13">
                  <c:v>1270.4633958720221</c:v>
                </c:pt>
                <c:pt idx="14">
                  <c:v>1292.6823453516374</c:v>
                </c:pt>
                <c:pt idx="15">
                  <c:v>1315.0920870762179</c:v>
                </c:pt>
                <c:pt idx="16">
                  <c:v>1337.772527542136</c:v>
                </c:pt>
                <c:pt idx="17">
                  <c:v>1360.7849076064899</c:v>
                </c:pt>
                <c:pt idx="18">
                  <c:v>1384.1762488627348</c:v>
                </c:pt>
                <c:pt idx="19">
                  <c:v>1407.9827877486123</c:v>
                </c:pt>
                <c:pt idx="20">
                  <c:v>1432.2326242120128</c:v>
                </c:pt>
                <c:pt idx="21">
                  <c:v>1456.9477613145664</c:v>
                </c:pt>
                <c:pt idx="22">
                  <c:v>1482.1456728885114</c:v>
                </c:pt>
                <c:pt idx="23">
                  <c:v>1507.8405058049461</c:v>
                </c:pt>
                <c:pt idx="24">
                  <c:v>1534.0439996334583</c:v>
                </c:pt>
                <c:pt idx="25">
                  <c:v>1560.7661879733273</c:v>
                </c:pt>
                <c:pt idx="26">
                  <c:v>1587.9989480374384</c:v>
                </c:pt>
                <c:pt idx="27">
                  <c:v>1615.6956315493208</c:v>
                </c:pt>
                <c:pt idx="28">
                  <c:v>1643.8326679847703</c:v>
                </c:pt>
                <c:pt idx="29">
                  <c:v>1672.4027070980005</c:v>
                </c:pt>
                <c:pt idx="30">
                  <c:v>1701.4095468160906</c:v>
                </c:pt>
                <c:pt idx="31">
                  <c:v>1730.8644140683898</c:v>
                </c:pt>
                <c:pt idx="32">
                  <c:v>1760.7832668019275</c:v>
                </c:pt>
                <c:pt idx="33">
                  <c:v>1791.1848631947762</c:v>
                </c:pt>
                <c:pt idx="34">
                  <c:v>1822.0894040695625</c:v>
                </c:pt>
                <c:pt idx="35">
                  <c:v>1853.5176007319369</c:v>
                </c:pt>
                <c:pt idx="36">
                  <c:v>1885.4900560223821</c:v>
                </c:pt>
                <c:pt idx="37">
                  <c:v>1918.0268736874891</c:v>
                </c:pt>
                <c:pt idx="38">
                  <c:v>1951.1474321212206</c:v>
                </c:pt>
                <c:pt idx="39">
                  <c:v>1984.8674270553729</c:v>
                </c:pt>
                <c:pt idx="40">
                  <c:v>2019.1928532465538</c:v>
                </c:pt>
                <c:pt idx="41">
                  <c:v>2054.1250355824181</c:v>
                </c:pt>
                <c:pt idx="42">
                  <c:v>2089.6639079079268</c:v>
                </c:pt>
                <c:pt idx="43">
                  <c:v>2125.8100487675893</c:v>
                </c:pt>
                <c:pt idx="44">
                  <c:v>2162.565849774619</c:v>
                </c:pt>
                <c:pt idx="45">
                  <c:v>2199.9360917002286</c:v>
                </c:pt>
                <c:pt idx="46">
                  <c:v>2237.9281278463359</c:v>
                </c:pt>
                <c:pt idx="47">
                  <c:v>2276.5518178387256</c:v>
                </c:pt>
                <c:pt idx="48">
                  <c:v>2315.8193130589357</c:v>
                </c:pt>
                <c:pt idx="49">
                  <c:v>2355.7447639973498</c:v>
                </c:pt>
                <c:pt idx="50">
                  <c:v>2396.343997159252</c:v>
                </c:pt>
                <c:pt idx="51">
                  <c:v>2437.6341927291728</c:v>
                </c:pt>
                <c:pt idx="52">
                  <c:v>2479.6331050029685</c:v>
                </c:pt>
                <c:pt idx="53">
                  <c:v>2522.3573671248478</c:v>
                </c:pt>
                <c:pt idx="54">
                  <c:v>2565.8218423863982</c:v>
                </c:pt>
                <c:pt idx="55">
                  <c:v>2610.0396029563167</c:v>
                </c:pt>
                <c:pt idx="56">
                  <c:v>2655.0222524787814</c:v>
                </c:pt>
                <c:pt idx="57">
                  <c:v>2700.7804059311748</c:v>
                </c:pt>
                <c:pt idx="58">
                  <c:v>2747.3242086035548</c:v>
                </c:pt>
                <c:pt idx="59">
                  <c:v>2794.6638236700878</c:v>
                </c:pt>
                <c:pt idx="60">
                  <c:v>2842.8098502682956</c:v>
                </c:pt>
              </c:numCache>
            </c:numRef>
          </c:val>
          <c:smooth val="0"/>
          <c:extLst>
            <c:ext xmlns:c16="http://schemas.microsoft.com/office/drawing/2014/chart" uri="{C3380CC4-5D6E-409C-BE32-E72D297353CC}">
              <c16:uniqueId val="{0000003F-DFD5-4C9C-8CD5-E741EA2DC055}"/>
            </c:ext>
          </c:extLst>
        </c:ser>
        <c:ser>
          <c:idx val="9"/>
          <c:order val="1"/>
          <c:tx>
            <c:v>Mites protected in brood</c:v>
          </c:tx>
          <c:spPr>
            <a:ln w="28575">
              <a:solidFill>
                <a:srgbClr val="C35D09"/>
              </a:solidFill>
              <a:prstDash val="sysDash"/>
            </a:ln>
          </c:spPr>
          <c:marker>
            <c:symbol val="none"/>
          </c:marker>
          <c:cat>
            <c:numRef>
              <c:f>'OAV model'!$EG$69:$EG$129</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model'!$DB$69:$DB$129</c:f>
              <c:numCache>
                <c:formatCode>0</c:formatCode>
                <c:ptCount val="61"/>
                <c:pt idx="0">
                  <c:v>572.45856351639952</c:v>
                </c:pt>
                <c:pt idx="1">
                  <c:v>586.24043080750846</c:v>
                </c:pt>
                <c:pt idx="2">
                  <c:v>598.69593177989725</c:v>
                </c:pt>
                <c:pt idx="3">
                  <c:v>610.24223206809336</c:v>
                </c:pt>
                <c:pt idx="4">
                  <c:v>621.19536841229785</c:v>
                </c:pt>
                <c:pt idx="5">
                  <c:v>631.79378319452314</c:v>
                </c:pt>
                <c:pt idx="6">
                  <c:v>642.21651620417231</c:v>
                </c:pt>
                <c:pt idx="7">
                  <c:v>652.59725174922971</c:v>
                </c:pt>
                <c:pt idx="8">
                  <c:v>663.03515228569506</c:v>
                </c:pt>
                <c:pt idx="9">
                  <c:v>673.60320206546567</c:v>
                </c:pt>
                <c:pt idx="10">
                  <c:v>684.35462276555597</c:v>
                </c:pt>
                <c:pt idx="11">
                  <c:v>695.32779743170818</c:v>
                </c:pt>
                <c:pt idx="12">
                  <c:v>706.55004138426159</c:v>
                </c:pt>
                <c:pt idx="13">
                  <c:v>719.05341804405577</c:v>
                </c:pt>
                <c:pt idx="14">
                  <c:v>732.37011479834882</c:v>
                </c:pt>
                <c:pt idx="15">
                  <c:v>746.18034396597125</c:v>
                </c:pt>
                <c:pt idx="16">
                  <c:v>760.27255949513415</c:v>
                </c:pt>
                <c:pt idx="17">
                  <c:v>774.51353821630084</c:v>
                </c:pt>
                <c:pt idx="18">
                  <c:v>788.82599007243539</c:v>
                </c:pt>
                <c:pt idx="19">
                  <c:v>803.17189986273024</c:v>
                </c:pt>
                <c:pt idx="20">
                  <c:v>817.54021918190381</c:v>
                </c:pt>
                <c:pt idx="21">
                  <c:v>831.93784878850329</c:v>
                </c:pt>
                <c:pt idx="22">
                  <c:v>846.38309985868716</c:v>
                </c:pt>
                <c:pt idx="23">
                  <c:v>860.90101399370712</c:v>
                </c:pt>
                <c:pt idx="24">
                  <c:v>875.52006927390823</c:v>
                </c:pt>
                <c:pt idx="25">
                  <c:v>890.26991304273895</c:v>
                </c:pt>
                <c:pt idx="26">
                  <c:v>905.34968226881256</c:v>
                </c:pt>
                <c:pt idx="27">
                  <c:v>920.85622975662511</c:v>
                </c:pt>
                <c:pt idx="28">
                  <c:v>936.82119221789344</c:v>
                </c:pt>
                <c:pt idx="29">
                  <c:v>953.23694882279608</c:v>
                </c:pt>
                <c:pt idx="30">
                  <c:v>970.07445464345597</c:v>
                </c:pt>
                <c:pt idx="31">
                  <c:v>987.29518439511696</c:v>
                </c:pt>
                <c:pt idx="32">
                  <c:v>1004.858852797282</c:v>
                </c:pt>
                <c:pt idx="33">
                  <c:v>1022.7281467202527</c:v>
                </c:pt>
                <c:pt idx="34">
                  <c:v>1040.8713786738015</c:v>
                </c:pt>
                <c:pt idx="35">
                  <c:v>1059.2637261991108</c:v>
                </c:pt>
                <c:pt idx="36">
                  <c:v>1077.887538163164</c:v>
                </c:pt>
                <c:pt idx="37">
                  <c:v>1096.7320520940818</c:v>
                </c:pt>
                <c:pt idx="38">
                  <c:v>1115.7927652372446</c:v>
                </c:pt>
                <c:pt idx="39">
                  <c:v>1135.0991022506103</c:v>
                </c:pt>
                <c:pt idx="40">
                  <c:v>1154.6932026469403</c:v>
                </c:pt>
                <c:pt idx="41">
                  <c:v>1174.6174636490516</c:v>
                </c:pt>
                <c:pt idx="42">
                  <c:v>1194.9079272379363</c:v>
                </c:pt>
                <c:pt idx="43">
                  <c:v>1215.5914492013733</c:v>
                </c:pt>
                <c:pt idx="44">
                  <c:v>1236.6852097569783</c:v>
                </c:pt>
                <c:pt idx="45">
                  <c:v>1258.1975772121391</c:v>
                </c:pt>
                <c:pt idx="46">
                  <c:v>1280.1296616039128</c:v>
                </c:pt>
                <c:pt idx="47">
                  <c:v>1302.4771271700092</c:v>
                </c:pt>
                <c:pt idx="48">
                  <c:v>1325.2319955596399</c:v>
                </c:pt>
                <c:pt idx="49">
                  <c:v>1348.3842844460803</c:v>
                </c:pt>
                <c:pt idx="50">
                  <c:v>1371.9234025058563</c:v>
                </c:pt>
                <c:pt idx="51">
                  <c:v>1395.8392718834812</c:v>
                </c:pt>
                <c:pt idx="52">
                  <c:v>1420.1279551145096</c:v>
                </c:pt>
                <c:pt idx="53">
                  <c:v>1444.793051578275</c:v>
                </c:pt>
                <c:pt idx="54">
                  <c:v>1469.8448380926061</c:v>
                </c:pt>
                <c:pt idx="55">
                  <c:v>1495.2984036751209</c:v>
                </c:pt>
                <c:pt idx="56">
                  <c:v>1521.1715330364138</c:v>
                </c:pt>
                <c:pt idx="57">
                  <c:v>1547.4827614955161</c:v>
                </c:pt>
                <c:pt idx="58">
                  <c:v>1574.2498076440495</c:v>
                </c:pt>
                <c:pt idx="59">
                  <c:v>1601.4884542048201</c:v>
                </c:pt>
                <c:pt idx="60">
                  <c:v>1629.211866805721</c:v>
                </c:pt>
              </c:numCache>
            </c:numRef>
          </c:val>
          <c:smooth val="0"/>
          <c:extLst>
            <c:ext xmlns:c16="http://schemas.microsoft.com/office/drawing/2014/chart" uri="{C3380CC4-5D6E-409C-BE32-E72D297353CC}">
              <c16:uniqueId val="{00000040-DFD5-4C9C-8CD5-E741EA2DC055}"/>
            </c:ext>
          </c:extLst>
        </c:ser>
        <c:ser>
          <c:idx val="4"/>
          <c:order val="4"/>
          <c:tx>
            <c:v>Mite pop labels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A866-4ACE-A597-7A1EF50976CD}"/>
                </c:ext>
              </c:extLst>
            </c:dLbl>
            <c:dLbl>
              <c:idx val="6"/>
              <c:delete val="1"/>
              <c:extLst>
                <c:ext xmlns:c15="http://schemas.microsoft.com/office/drawing/2012/chart" uri="{CE6537A1-D6FC-4f65-9D91-7224C49458BB}"/>
                <c:ext xmlns:c16="http://schemas.microsoft.com/office/drawing/2014/chart" uri="{C3380CC4-5D6E-409C-BE32-E72D297353CC}">
                  <c16:uniqueId val="{0000000C-A866-4ACE-A597-7A1EF50976CD}"/>
                </c:ext>
              </c:extLst>
            </c:dLbl>
            <c:dLbl>
              <c:idx val="12"/>
              <c:delete val="1"/>
              <c:extLst>
                <c:ext xmlns:c15="http://schemas.microsoft.com/office/drawing/2012/chart" uri="{CE6537A1-D6FC-4f65-9D91-7224C49458BB}"/>
                <c:ext xmlns:c16="http://schemas.microsoft.com/office/drawing/2014/chart" uri="{C3380CC4-5D6E-409C-BE32-E72D297353CC}">
                  <c16:uniqueId val="{0000000B-A866-4ACE-A597-7A1EF50976CD}"/>
                </c:ext>
              </c:extLst>
            </c:dLbl>
            <c:dLbl>
              <c:idx val="18"/>
              <c:delete val="1"/>
              <c:extLst>
                <c:ext xmlns:c15="http://schemas.microsoft.com/office/drawing/2012/chart" uri="{CE6537A1-D6FC-4f65-9D91-7224C49458BB}"/>
                <c:ext xmlns:c16="http://schemas.microsoft.com/office/drawing/2014/chart" uri="{C3380CC4-5D6E-409C-BE32-E72D297353CC}">
                  <c16:uniqueId val="{0000000A-A866-4ACE-A597-7A1EF50976CD}"/>
                </c:ext>
              </c:extLst>
            </c:dLbl>
            <c:dLbl>
              <c:idx val="24"/>
              <c:delete val="1"/>
              <c:extLst>
                <c:ext xmlns:c15="http://schemas.microsoft.com/office/drawing/2012/chart" uri="{CE6537A1-D6FC-4f65-9D91-7224C49458BB}"/>
                <c:ext xmlns:c16="http://schemas.microsoft.com/office/drawing/2014/chart" uri="{C3380CC4-5D6E-409C-BE32-E72D297353CC}">
                  <c16:uniqueId val="{00000009-A866-4ACE-A597-7A1EF50976CD}"/>
                </c:ext>
              </c:extLst>
            </c:dLbl>
            <c:dLbl>
              <c:idx val="30"/>
              <c:delete val="1"/>
              <c:extLst>
                <c:ext xmlns:c15="http://schemas.microsoft.com/office/drawing/2012/chart" uri="{CE6537A1-D6FC-4f65-9D91-7224C49458BB}"/>
                <c:ext xmlns:c16="http://schemas.microsoft.com/office/drawing/2014/chart" uri="{C3380CC4-5D6E-409C-BE32-E72D297353CC}">
                  <c16:uniqueId val="{00000008-A866-4ACE-A597-7A1EF50976CD}"/>
                </c:ext>
              </c:extLst>
            </c:dLbl>
            <c:dLbl>
              <c:idx val="36"/>
              <c:delete val="1"/>
              <c:extLst>
                <c:ext xmlns:c15="http://schemas.microsoft.com/office/drawing/2012/chart" uri="{CE6537A1-D6FC-4f65-9D91-7224C49458BB}"/>
                <c:ext xmlns:c16="http://schemas.microsoft.com/office/drawing/2014/chart" uri="{C3380CC4-5D6E-409C-BE32-E72D297353CC}">
                  <c16:uniqueId val="{00000007-A866-4ACE-A597-7A1EF50976CD}"/>
                </c:ext>
              </c:extLst>
            </c:dLbl>
            <c:dLbl>
              <c:idx val="42"/>
              <c:delete val="1"/>
              <c:extLst>
                <c:ext xmlns:c15="http://schemas.microsoft.com/office/drawing/2012/chart" uri="{CE6537A1-D6FC-4f65-9D91-7224C49458BB}"/>
                <c:ext xmlns:c16="http://schemas.microsoft.com/office/drawing/2014/chart" uri="{C3380CC4-5D6E-409C-BE32-E72D297353CC}">
                  <c16:uniqueId val="{00000006-A866-4ACE-A597-7A1EF50976CD}"/>
                </c:ext>
              </c:extLst>
            </c:dLbl>
            <c:dLbl>
              <c:idx val="48"/>
              <c:delete val="1"/>
              <c:extLst>
                <c:ext xmlns:c15="http://schemas.microsoft.com/office/drawing/2012/chart" uri="{CE6537A1-D6FC-4f65-9D91-7224C49458BB}"/>
                <c:ext xmlns:c16="http://schemas.microsoft.com/office/drawing/2014/chart" uri="{C3380CC4-5D6E-409C-BE32-E72D297353CC}">
                  <c16:uniqueId val="{00000005-A866-4ACE-A597-7A1EF50976CD}"/>
                </c:ext>
              </c:extLst>
            </c:dLbl>
            <c:dLbl>
              <c:idx val="54"/>
              <c:delete val="1"/>
              <c:extLst>
                <c:ext xmlns:c15="http://schemas.microsoft.com/office/drawing/2012/chart" uri="{CE6537A1-D6FC-4f65-9D91-7224C49458BB}"/>
                <c:ext xmlns:c16="http://schemas.microsoft.com/office/drawing/2014/chart" uri="{C3380CC4-5D6E-409C-BE32-E72D297353CC}">
                  <c16:uniqueId val="{00000004-A866-4ACE-A597-7A1EF50976CD}"/>
                </c:ext>
              </c:extLst>
            </c:dLbl>
            <c:dLbl>
              <c:idx val="60"/>
              <c:layout>
                <c:manualLayout>
                  <c:x val="-1.9683605827751364E-2"/>
                  <c:y val="-5.5914019442085343E-2"/>
                </c:manualLayout>
              </c:layout>
              <c:tx>
                <c:rich>
                  <a:bodyPr/>
                  <a:lstStyle/>
                  <a:p>
                    <a:fld id="{A6159654-1458-45DB-AEC7-3DD86557872D}" type="VALUE">
                      <a:rPr lang="en-US" b="1">
                        <a:solidFill>
                          <a:srgbClr val="C00000"/>
                        </a:solidFill>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866-4ACE-A597-7A1EF50976C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'OAV model'!$EG$69:$EG$129</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model'!$DK$69:$DK$129</c:f>
              <c:numCache>
                <c:formatCode>d\-mmm</c:formatCode>
                <c:ptCount val="61"/>
                <c:pt idx="0" formatCode="0">
                  <c:v>1016.8757488715064</c:v>
                </c:pt>
                <c:pt idx="6" formatCode="0">
                  <c:v>1123.8927186421386</c:v>
                </c:pt>
                <c:pt idx="12" formatCode="0">
                  <c:v>1248.3309162275641</c:v>
                </c:pt>
                <c:pt idx="18" formatCode="0">
                  <c:v>1384.1762488627348</c:v>
                </c:pt>
                <c:pt idx="24" formatCode="0">
                  <c:v>1534.0439996334583</c:v>
                </c:pt>
                <c:pt idx="30" formatCode="0">
                  <c:v>1701.4095468160906</c:v>
                </c:pt>
                <c:pt idx="36" formatCode="0">
                  <c:v>1885.4900560223821</c:v>
                </c:pt>
                <c:pt idx="42" formatCode="0">
                  <c:v>2089.6639079079268</c:v>
                </c:pt>
                <c:pt idx="48" formatCode="0">
                  <c:v>2315.8193130589357</c:v>
                </c:pt>
                <c:pt idx="54" formatCode="0">
                  <c:v>2565.8218423863982</c:v>
                </c:pt>
                <c:pt idx="60" formatCode="0">
                  <c:v>2842.8098502682956</c:v>
                </c:pt>
              </c:numCache>
            </c:numRef>
          </c:val>
          <c:smooth val="0"/>
          <c:extLst>
            <c:ext xmlns:c16="http://schemas.microsoft.com/office/drawing/2014/chart" uri="{C3380CC4-5D6E-409C-BE32-E72D297353CC}">
              <c16:uniqueId val="{00000041-DFD5-4C9C-8CD5-E741EA2DC055}"/>
            </c:ext>
          </c:extLst>
        </c:ser>
        <c:ser>
          <c:idx val="2"/>
          <c:order val="5"/>
          <c:tx>
            <c:v>OAV application</c:v>
          </c:tx>
          <c:spPr>
            <a:ln w="28575">
              <a:noFill/>
            </a:ln>
          </c:spPr>
          <c:marker>
            <c:symbol val="triangle"/>
            <c:size val="8"/>
            <c:spPr>
              <a:solidFill>
                <a:srgbClr val="FF0000"/>
              </a:solidFill>
              <a:ln>
                <a:noFill/>
              </a:ln>
            </c:spPr>
          </c:marker>
          <c:cat>
            <c:numRef>
              <c:f>'OAV model'!$EG$69:$EG$129</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'OAV model'!$DR$69:$DR$129</c:f>
              <c:numCache>
                <c:formatCode>0</c:formatCode>
                <c:ptCount val="61"/>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42-DFD5-4C9C-8CD5-E741EA2DC055}"/>
            </c:ext>
          </c:extLst>
        </c:ser>
        <c:dLbls>
          <c:showLegendKey val="0"/>
          <c:showVal val="0"/>
          <c:showCatName val="0"/>
          <c:showSerName val="0"/>
          <c:showPercent val="0"/>
          <c:showBubbleSize val="0"/>
        </c:dLbls>
        <c:marker val="1"/>
        <c:smooth val="0"/>
        <c:axId val="62124496"/>
        <c:axId val="62124976"/>
        <c:extLst/>
      </c:lineChart>
      <c:lineChart>
        <c:grouping val="standard"/>
        <c:varyColors val="0"/>
        <c:ser>
          <c:idx val="6"/>
          <c:order val="6"/>
          <c:tx>
            <c:v>Mite wash count</c:v>
          </c:tx>
          <c:spPr>
            <a:ln w="28575">
              <a:solidFill>
                <a:schemeClr val="tx1"/>
              </a:solidFill>
            </a:ln>
          </c:spPr>
          <c:marker>
            <c:symbol val="none"/>
          </c:marker>
          <c:dPt>
            <c:idx val="45"/>
            <c:bubble3D val="0"/>
            <c:extLst>
              <c:ext xmlns:c16="http://schemas.microsoft.com/office/drawing/2014/chart" uri="{C3380CC4-5D6E-409C-BE32-E72D297353CC}">
                <c16:uniqueId val="{00000043-DFD5-4C9C-8CD5-E741EA2DC055}"/>
              </c:ext>
            </c:extLst>
          </c:dPt>
          <c:dPt>
            <c:idx val="50"/>
            <c:bubble3D val="0"/>
            <c:spPr>
              <a:ln w="28575">
                <a:noFill/>
              </a:ln>
            </c:spPr>
            <c:extLst>
              <c:ext xmlns:c16="http://schemas.microsoft.com/office/drawing/2014/chart" uri="{C3380CC4-5D6E-409C-BE32-E72D297353CC}">
                <c16:uniqueId val="{00000045-DFD5-4C9C-8CD5-E741EA2DC055}"/>
              </c:ext>
            </c:extLst>
          </c:dPt>
          <c:dLbls>
            <c:dLbl>
              <c:idx val="0"/>
              <c:layout>
                <c:manualLayout>
                  <c:x val="-1.5873017399076799E-2"/>
                  <c:y val="-0.53911967191494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DFD5-4C9C-8CD5-E741EA2DC055}"/>
                </c:ext>
              </c:extLst>
            </c:dLbl>
            <c:dLbl>
              <c:idx val="8"/>
              <c:layout>
                <c:manualLayout>
                  <c:x val="0"/>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DFD5-4C9C-8CD5-E741EA2DC055}"/>
                </c:ext>
              </c:extLst>
            </c:dLbl>
            <c:dLbl>
              <c:idx val="18"/>
              <c:layout>
                <c:manualLayout>
                  <c:x val="-2.4420026767810444E-3"/>
                  <c:y val="-0.538129567776712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DFD5-4C9C-8CD5-E741EA2DC055}"/>
                </c:ext>
              </c:extLst>
            </c:dLbl>
            <c:dLbl>
              <c:idx val="28"/>
              <c:layout>
                <c:manualLayout>
                  <c:x val="-1.8315020075857922E-2"/>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DFD5-4C9C-8CD5-E741EA2DC055}"/>
                </c:ext>
              </c:extLst>
            </c:dLbl>
            <c:dLbl>
              <c:idx val="38"/>
              <c:layout>
                <c:manualLayout>
                  <c:x val="3.663004015171477E-3"/>
                  <c:y val="-0.54241968701553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DFD5-4C9C-8CD5-E741EA2DC055}"/>
                </c:ext>
              </c:extLst>
            </c:dLbl>
            <c:dLbl>
              <c:idx val="49"/>
              <c:layout>
                <c:manualLayout>
                  <c:x val="-8.9539063785732778E-17"/>
                  <c:y val="-0.542639621616861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DFD5-4C9C-8CD5-E741EA2DC055}"/>
                </c:ext>
              </c:extLst>
            </c:dLbl>
            <c:dLbl>
              <c:idx val="50"/>
              <c:delete val="1"/>
              <c:extLst>
                <c:ext xmlns:c15="http://schemas.microsoft.com/office/drawing/2012/chart" uri="{CE6537A1-D6FC-4f65-9D91-7224C49458BB}"/>
                <c:ext xmlns:c16="http://schemas.microsoft.com/office/drawing/2014/chart" uri="{C3380CC4-5D6E-409C-BE32-E72D297353CC}">
                  <c16:uniqueId val="{00000045-DFD5-4C9C-8CD5-E741EA2DC055}"/>
                </c:ext>
              </c:extLst>
            </c:dLbl>
            <c:dLbl>
              <c:idx val="60"/>
              <c:layout>
                <c:manualLayout>
                  <c:x val="-7.3260080303431327E-3"/>
                  <c:y val="-0.54098951445850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DFD5-4C9C-8CD5-E741EA2DC055}"/>
                </c:ext>
              </c:extLst>
            </c:dLbl>
            <c:spPr>
              <a:solidFill>
                <a:schemeClr val="bg1"/>
              </a:solidFill>
              <a:ln>
                <a:solidFill>
                  <a:srgbClr val="00B0F0"/>
                </a:solidFill>
              </a:ln>
              <a:effectLst/>
            </c:spPr>
            <c:txPr>
              <a:bodyPr wrap="square" lIns="38100" tIns="19050" rIns="38100" bIns="19050" anchor="ctr">
                <a:spAutoFit/>
              </a:bodyPr>
              <a:lstStyle/>
              <a:p>
                <a:pPr>
                  <a:defRPr>
                    <a:solidFill>
                      <a:srgbClr val="00B0F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'OAV model'!$CJ$69:$CJ$129</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model'!$DH$69:$DH$129</c:f>
              <c:numCache>
                <c:formatCode>0</c:formatCode>
                <c:ptCount val="61"/>
                <c:pt idx="0">
                  <c:v>4.0969082006170723</c:v>
                </c:pt>
                <c:pt idx="8">
                  <c:v>4.6294793598592667</c:v>
                </c:pt>
                <c:pt idx="18">
                  <c:v>5.5018303690916746</c:v>
                </c:pt>
                <c:pt idx="28">
                  <c:v>6.5358244772316523</c:v>
                </c:pt>
                <c:pt idx="38">
                  <c:v>7.7218657463374969</c:v>
                </c:pt>
                <c:pt idx="49">
                  <c:v>9.3115172109820499</c:v>
                </c:pt>
                <c:pt idx="50">
                  <c:v>9.4692227500900135</c:v>
                </c:pt>
                <c:pt idx="60">
                  <c:v>11.218212532088881</c:v>
                </c:pt>
              </c:numCache>
            </c:numRef>
          </c:val>
          <c:smooth val="0"/>
          <c:extLst>
            <c:ext xmlns:c16="http://schemas.microsoft.com/office/drawing/2014/chart" uri="{C3380CC4-5D6E-409C-BE32-E72D297353CC}">
              <c16:uniqueId val="{0000004D-DFD5-4C9C-8CD5-E741EA2DC055}"/>
            </c:ext>
          </c:extLst>
        </c:ser>
        <c:ser>
          <c:idx val="12"/>
          <c:order val="7"/>
          <c:tx>
            <c:v>Mites on adult bees</c:v>
          </c:tx>
          <c:spPr>
            <a:ln w="38100">
              <a:solidFill>
                <a:srgbClr val="00B050"/>
              </a:solidFill>
              <a:prstDash val="sysDot"/>
            </a:ln>
          </c:spPr>
          <c:marker>
            <c:symbol val="none"/>
          </c:marker>
          <c:cat>
            <c:numRef>
              <c:f>'OAV model'!$CJ$69:$CJ$129</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'OAV model'!$CU$69:$CU$129</c:f>
              <c:numCache>
                <c:formatCode>0</c:formatCode>
                <c:ptCount val="61"/>
                <c:pt idx="0">
                  <c:v>467.73155216923385</c:v>
                </c:pt>
                <c:pt idx="1">
                  <c:v>468.21808007052255</c:v>
                </c:pt>
                <c:pt idx="2">
                  <c:v>471.35302574515998</c:v>
                </c:pt>
                <c:pt idx="3">
                  <c:v>476.4950609779475</c:v>
                </c:pt>
                <c:pt idx="4">
                  <c:v>483.15630167438366</c:v>
                </c:pt>
                <c:pt idx="5">
                  <c:v>490.96707254966572</c:v>
                </c:pt>
                <c:pt idx="6">
                  <c:v>499.64862146326089</c:v>
                </c:pt>
                <c:pt idx="7">
                  <c:v>508.99200653735534</c:v>
                </c:pt>
                <c:pt idx="8">
                  <c:v>518.84177439812174</c:v>
                </c:pt>
                <c:pt idx="9">
                  <c:v>529.08335541248766</c:v>
                </c:pt>
                <c:pt idx="10">
                  <c:v>539.633341079395</c:v>
                </c:pt>
                <c:pt idx="11">
                  <c:v>550.43199489448807</c:v>
                </c:pt>
                <c:pt idx="12">
                  <c:v>561.4374928144598</c:v>
                </c:pt>
                <c:pt idx="13">
                  <c:v>572.62150206893625</c:v>
                </c:pt>
                <c:pt idx="14">
                  <c:v>582.54768529133207</c:v>
                </c:pt>
                <c:pt idx="15">
                  <c:v>591.81072513117078</c:v>
                </c:pt>
                <c:pt idx="16">
                  <c:v>600.82655706345906</c:v>
                </c:pt>
                <c:pt idx="17">
                  <c:v>609.87950329146452</c:v>
                </c:pt>
                <c:pt idx="18">
                  <c:v>619.15785417900838</c:v>
                </c:pt>
                <c:pt idx="19">
                  <c:v>628.78061361047708</c:v>
                </c:pt>
                <c:pt idx="20">
                  <c:v>638.81750144402895</c:v>
                </c:pt>
                <c:pt idx="21">
                  <c:v>649.30382389027284</c:v>
                </c:pt>
                <c:pt idx="22">
                  <c:v>660.25144964225967</c:v>
                </c:pt>
                <c:pt idx="23">
                  <c:v>671.65684136729521</c:v>
                </c:pt>
                <c:pt idx="24">
                  <c:v>683.50686968485991</c:v>
                </c:pt>
                <c:pt idx="25">
                  <c:v>695.78296519270998</c:v>
                </c:pt>
                <c:pt idx="26">
                  <c:v>708.46403196998688</c:v>
                </c:pt>
                <c:pt idx="27">
                  <c:v>721.29067803976227</c:v>
                </c:pt>
                <c:pt idx="28">
                  <c:v>734.13428331890941</c:v>
                </c:pt>
                <c:pt idx="29">
                  <c:v>746.95136882647455</c:v>
                </c:pt>
                <c:pt idx="30">
                  <c:v>759.75133331874918</c:v>
                </c:pt>
                <c:pt idx="31">
                  <c:v>772.57401952814632</c:v>
                </c:pt>
                <c:pt idx="32">
                  <c:v>785.47445131645009</c:v>
                </c:pt>
                <c:pt idx="33">
                  <c:v>798.51275240737186</c:v>
                </c:pt>
                <c:pt idx="34">
                  <c:v>811.74776568562731</c:v>
                </c:pt>
                <c:pt idx="35">
                  <c:v>825.23327695537159</c:v>
                </c:pt>
                <c:pt idx="36">
                  <c:v>839.01603753665506</c:v>
                </c:pt>
                <c:pt idx="37">
                  <c:v>853.1349984727334</c:v>
                </c:pt>
                <c:pt idx="38">
                  <c:v>867.62133259545544</c:v>
                </c:pt>
                <c:pt idx="39">
                  <c:v>882.49894243857113</c:v>
                </c:pt>
                <c:pt idx="40">
                  <c:v>897.74537718729027</c:v>
                </c:pt>
                <c:pt idx="41">
                  <c:v>913.31930974430122</c:v>
                </c:pt>
                <c:pt idx="42">
                  <c:v>929.17707248132808</c:v>
                </c:pt>
                <c:pt idx="43">
                  <c:v>945.28180325076448</c:v>
                </c:pt>
                <c:pt idx="44">
                  <c:v>961.60773472795665</c:v>
                </c:pt>
                <c:pt idx="45">
                  <c:v>978.14141102630424</c:v>
                </c:pt>
                <c:pt idx="46">
                  <c:v>994.88106834155769</c:v>
                </c:pt>
                <c:pt idx="47">
                  <c:v>1011.8350199544964</c:v>
                </c:pt>
                <c:pt idx="48">
                  <c:v>1029.0196015051163</c:v>
                </c:pt>
                <c:pt idx="49">
                  <c:v>1046.4570308012387</c:v>
                </c:pt>
                <c:pt idx="50">
                  <c:v>1064.1733955408056</c:v>
                </c:pt>
                <c:pt idx="51">
                  <c:v>1082.1968857245731</c:v>
                </c:pt>
                <c:pt idx="52">
                  <c:v>1100.5563229143791</c:v>
                </c:pt>
                <c:pt idx="53">
                  <c:v>1119.2733127952231</c:v>
                </c:pt>
                <c:pt idx="54">
                  <c:v>1138.3599444714405</c:v>
                </c:pt>
                <c:pt idx="55">
                  <c:v>1157.8195377509842</c:v>
                </c:pt>
                <c:pt idx="56">
                  <c:v>1177.6488343944734</c:v>
                </c:pt>
                <c:pt idx="57">
                  <c:v>1197.8406461093755</c:v>
                </c:pt>
                <c:pt idx="58">
                  <c:v>1218.386389402752</c:v>
                </c:pt>
                <c:pt idx="59">
                  <c:v>1239.2782130156406</c:v>
                </c:pt>
                <c:pt idx="60">
                  <c:v>1260.5105997980249</c:v>
                </c:pt>
              </c:numCache>
            </c:numRef>
          </c:val>
          <c:smooth val="0"/>
          <c:extLst>
            <c:ext xmlns:c16="http://schemas.microsoft.com/office/drawing/2014/chart" uri="{C3380CC4-5D6E-409C-BE32-E72D297353CC}">
              <c16:uniqueId val="{0000004E-DFD5-4C9C-8CD5-E741EA2DC055}"/>
            </c:ext>
          </c:extLst>
        </c:ser>
        <c:dLbls>
          <c:showLegendKey val="0"/>
          <c:showVal val="0"/>
          <c:showCatName val="0"/>
          <c:showSerName val="0"/>
          <c:showPercent val="0"/>
          <c:showBubbleSize val="0"/>
        </c:dLbls>
        <c:marker val="1"/>
        <c:smooth val="0"/>
        <c:axId val="385048032"/>
        <c:axId val="385026432"/>
        <c:extLst/>
      </c:lineChart>
      <c:catAx>
        <c:axId val="62124496"/>
        <c:scaling>
          <c:orientation val="minMax"/>
        </c:scaling>
        <c:delete val="0"/>
        <c:axPos val="b"/>
        <c:title>
          <c:tx>
            <c:rich>
              <a:bodyPr/>
              <a:lstStyle/>
              <a:p>
                <a:pPr>
                  <a:defRPr sz="1000"/>
                </a:pPr>
                <a:r>
                  <a:rPr lang="en-US" sz="1100" b="0">
                    <a:solidFill>
                      <a:schemeClr val="accent6">
                        <a:lumMod val="75000"/>
                      </a:schemeClr>
                    </a:solidFill>
                  </a:rPr>
                  <a:t>Summer days above </a:t>
                </a:r>
                <a:r>
                  <a:rPr lang="en-US" sz="1400">
                    <a:solidFill>
                      <a:schemeClr val="accent6">
                        <a:lumMod val="75000"/>
                      </a:schemeClr>
                    </a:solidFill>
                    <a:sym typeface="Wingdings 3" panose="05040102010807070707" pitchFamily="18" charset="2"/>
                  </a:rPr>
                  <a:t></a:t>
                </a:r>
                <a:r>
                  <a:rPr lang="en-US" sz="1400">
                    <a:solidFill>
                      <a:schemeClr val="accent6">
                        <a:lumMod val="75000"/>
                      </a:schemeClr>
                    </a:solidFill>
                  </a:rPr>
                  <a:t> </a:t>
                </a:r>
                <a:r>
                  <a:rPr lang="en-US" sz="1100">
                    <a:solidFill>
                      <a:schemeClr val="accent6">
                        <a:lumMod val="75000"/>
                      </a:schemeClr>
                    </a:solidFill>
                  </a:rPr>
                  <a:t>   </a:t>
                </a:r>
                <a:r>
                  <a:rPr lang="en-US" sz="1100"/>
                  <a:t>Fall dates &amp; colony condition below </a:t>
                </a:r>
                <a:r>
                  <a:rPr lang="en-US" sz="1400" b="1" i="0" u="none" strike="noStrike" kern="1200" baseline="0">
                    <a:solidFill>
                      <a:sysClr val="windowText" lastClr="000000"/>
                    </a:solidFill>
                    <a:sym typeface="Wingdings 3" panose="05040102010807070707" pitchFamily="18" charset="2"/>
                  </a:rPr>
                  <a:t></a:t>
                </a:r>
                <a:r>
                  <a:rPr lang="en-US" sz="1400" b="1" i="0" u="none" strike="noStrike" kern="1200" baseline="0">
                    <a:solidFill>
                      <a:sysClr val="windowText" lastClr="000000"/>
                    </a:solidFill>
                  </a:rPr>
                  <a:t> </a:t>
                </a:r>
                <a:endParaRPr lang="en-US" sz="1400"/>
              </a:p>
            </c:rich>
          </c:tx>
          <c:layout>
            <c:manualLayout>
              <c:xMode val="edge"/>
              <c:yMode val="edge"/>
              <c:x val="0.36286054270721374"/>
              <c:y val="0.79972952918654927"/>
            </c:manualLayout>
          </c:layout>
          <c:overlay val="0"/>
        </c:title>
        <c:numFmt formatCode="#,##0" sourceLinked="0"/>
        <c:majorTickMark val="none"/>
        <c:minorTickMark val="none"/>
        <c:tickLblPos val="nextTo"/>
        <c:spPr>
          <a:noFill/>
          <a:ln w="9525" cap="flat" cmpd="sng" algn="ctr">
            <a:noFill/>
            <a:round/>
          </a:ln>
          <a:effectLst/>
        </c:spPr>
        <c:txPr>
          <a:bodyPr rot="-270000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en-US"/>
          </a:p>
        </c:txPr>
        <c:crossAx val="62124976"/>
        <c:crosses val="autoZero"/>
        <c:auto val="1"/>
        <c:lblAlgn val="ctr"/>
        <c:lblOffset val="100"/>
        <c:noMultiLvlLbl val="0"/>
      </c:catAx>
      <c:valAx>
        <c:axId val="62124976"/>
        <c:scaling>
          <c:orientation val="minMax"/>
          <c:max val="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sz="1200" b="1">
                    <a:solidFill>
                      <a:srgbClr val="C00000"/>
                    </a:solidFill>
                  </a:rPr>
                  <a:t>Mite population</a:t>
                </a:r>
                <a:r>
                  <a:rPr lang="en-US" sz="1200"/>
                  <a:t> </a:t>
                </a:r>
              </a:p>
            </c:rich>
          </c:tx>
          <c:layout>
            <c:manualLayout>
              <c:xMode val="edge"/>
              <c:yMode val="edge"/>
              <c:x val="9.1906789719245641E-3"/>
              <c:y val="0.34929716358801072"/>
            </c:manualLayout>
          </c:layout>
          <c:overlay val="0"/>
          <c:spPr>
            <a:noFill/>
            <a:ln>
              <a:noFill/>
            </a:ln>
            <a:effectLst/>
          </c:sp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62124496"/>
        <c:crosses val="autoZero"/>
        <c:crossBetween val="between"/>
      </c:valAx>
      <c:valAx>
        <c:axId val="385026432"/>
        <c:scaling>
          <c:orientation val="minMax"/>
          <c:max val="10"/>
        </c:scaling>
        <c:delete val="1"/>
        <c:axPos val="r"/>
        <c:title>
          <c:tx>
            <c:rich>
              <a:bodyPr rot="0" spcFirstLastPara="1" vertOverflow="ellipsis" vert="horz" wrap="square" anchor="ctr" anchorCtr="1"/>
              <a:lstStyle/>
              <a:p>
                <a:pPr>
                  <a:defRPr sz="1200" b="0" i="0" u="none" strike="noStrike" kern="1200" baseline="0">
                    <a:solidFill>
                      <a:srgbClr val="00B0F0"/>
                    </a:solidFill>
                    <a:latin typeface="+mn-lt"/>
                    <a:ea typeface="+mn-ea"/>
                    <a:cs typeface="+mn-cs"/>
                  </a:defRPr>
                </a:pPr>
                <a:r>
                  <a:rPr lang="en-US" sz="1200">
                    <a:solidFill>
                      <a:srgbClr val="00B0F0"/>
                    </a:solidFill>
                  </a:rPr>
                  <a:t>Expected</a:t>
                </a:r>
                <a:r>
                  <a:rPr lang="en-US" sz="1200" baseline="0">
                    <a:solidFill>
                      <a:srgbClr val="00B0F0"/>
                    </a:solidFill>
                  </a:rPr>
                  <a:t> mit</a:t>
                </a:r>
                <a:r>
                  <a:rPr lang="en-US" sz="1200">
                    <a:solidFill>
                      <a:srgbClr val="00B0F0"/>
                    </a:solidFill>
                  </a:rPr>
                  <a:t>e wash count from </a:t>
                </a:r>
              </a:p>
              <a:p>
                <a:pPr>
                  <a:defRPr sz="1200" b="0" i="0" u="none" strike="noStrike" kern="1200" baseline="0">
                    <a:solidFill>
                      <a:srgbClr val="00B0F0"/>
                    </a:solidFill>
                    <a:latin typeface="+mn-lt"/>
                    <a:ea typeface="+mn-ea"/>
                    <a:cs typeface="+mn-cs"/>
                  </a:defRPr>
                </a:pPr>
                <a:r>
                  <a:rPr lang="en-US" sz="1200">
                    <a:solidFill>
                      <a:srgbClr val="00B0F0"/>
                    </a:solidFill>
                  </a:rPr>
                  <a:t>a half cup of bees</a:t>
                </a:r>
              </a:p>
            </c:rich>
          </c:tx>
          <c:layout>
            <c:manualLayout>
              <c:xMode val="edge"/>
              <c:yMode val="edge"/>
              <c:x val="5.1590863794993301E-2"/>
              <c:y val="5.7057211524989368E-2"/>
            </c:manualLayout>
          </c:layout>
          <c:overlay val="0"/>
          <c:spPr>
            <a:solidFill>
              <a:schemeClr val="bg1"/>
            </a:solidFill>
            <a:ln>
              <a:noFill/>
            </a:ln>
            <a:effectLst/>
          </c:spPr>
        </c:title>
        <c:numFmt formatCode="0" sourceLinked="1"/>
        <c:majorTickMark val="out"/>
        <c:minorTickMark val="none"/>
        <c:tickLblPos val="nextTo"/>
        <c:crossAx val="385048032"/>
        <c:crosses val="max"/>
        <c:crossBetween val="between"/>
      </c:valAx>
      <c:catAx>
        <c:axId val="385048032"/>
        <c:scaling>
          <c:orientation val="minMax"/>
        </c:scaling>
        <c:delete val="1"/>
        <c:axPos val="b"/>
        <c:numFmt formatCode="0" sourceLinked="1"/>
        <c:majorTickMark val="out"/>
        <c:minorTickMark val="none"/>
        <c:tickLblPos val="nextTo"/>
        <c:crossAx val="385026432"/>
        <c:crosses val="autoZero"/>
        <c:auto val="1"/>
        <c:lblAlgn val="ctr"/>
        <c:lblOffset val="100"/>
        <c:noMultiLvlLbl val="0"/>
      </c:catAx>
      <c:spPr>
        <a:noFill/>
        <a:ln>
          <a:noFill/>
        </a:ln>
        <a:effectLst/>
      </c:spPr>
    </c:plotArea>
    <c:legend>
      <c:legendPos val="l"/>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76923084318602897"/>
          <c:y val="2.5503050596512845E-2"/>
          <c:w val="0.21853530025432399"/>
          <c:h val="0.11964282939489695"/>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511098</xdr:colOff>
      <xdr:row>6</xdr:row>
      <xdr:rowOff>87119</xdr:rowOff>
    </xdr:from>
    <xdr:to>
      <xdr:col>66</xdr:col>
      <xdr:colOff>209549</xdr:colOff>
      <xdr:row>36</xdr:row>
      <xdr:rowOff>638871</xdr:rowOff>
    </xdr:to>
    <xdr:graphicFrame macro="">
      <xdr:nvGraphicFramePr>
        <xdr:cNvPr id="2" name="Chart 4">
          <a:extLst>
            <a:ext uri="{FF2B5EF4-FFF2-40B4-BE49-F238E27FC236}">
              <a16:creationId xmlns:a16="http://schemas.microsoft.com/office/drawing/2014/main" id="{2406648E-EEC1-4AD2-923D-8878E7DB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68</xdr:col>
      <xdr:colOff>170289</xdr:colOff>
      <xdr:row>12</xdr:row>
      <xdr:rowOff>160761</xdr:rowOff>
    </xdr:from>
    <xdr:to>
      <xdr:col>84</xdr:col>
      <xdr:colOff>414338</xdr:colOff>
      <xdr:row>40</xdr:row>
      <xdr:rowOff>26949</xdr:rowOff>
    </xdr:to>
    <xdr:sp macro="" textlink="">
      <xdr:nvSpPr>
        <xdr:cNvPr id="3" name="TextBox 2">
          <a:extLst>
            <a:ext uri="{FF2B5EF4-FFF2-40B4-BE49-F238E27FC236}">
              <a16:creationId xmlns:a16="http://schemas.microsoft.com/office/drawing/2014/main" id="{A8CB45AA-9CB0-476A-958B-F82FA2CF9913}"/>
            </a:ext>
          </a:extLst>
        </xdr:cNvPr>
        <xdr:cNvSpPr txBox="1"/>
      </xdr:nvSpPr>
      <xdr:spPr>
        <a:xfrm>
          <a:off x="15991314" y="2103861"/>
          <a:ext cx="7378274" cy="488586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Randy's Oxalic Vaporization Model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The purpose of this model is to help you plan OAV application strategies during either summer or fall.  It cannot predict absolute values, but by holding all other variables constant, it</a:t>
          </a:r>
          <a:r>
            <a:rPr lang="en-US" sz="1100" b="0" i="0" baseline="0">
              <a:effectLst/>
              <a:latin typeface="+mn-lt"/>
              <a:ea typeface="+mn-ea"/>
              <a:cs typeface="+mn-cs"/>
            </a:rPr>
            <a:t> allows you to </a:t>
          </a:r>
          <a:r>
            <a:rPr lang="en-US" sz="1100" b="1" i="1" baseline="0">
              <a:effectLst/>
              <a:latin typeface="+mn-lt"/>
              <a:ea typeface="+mn-ea"/>
              <a:cs typeface="+mn-cs"/>
            </a:rPr>
            <a:t>compare</a:t>
          </a:r>
          <a:r>
            <a:rPr lang="en-US" sz="1100" b="0" i="0" baseline="0">
              <a:effectLst/>
              <a:latin typeface="+mn-lt"/>
              <a:ea typeface="+mn-ea"/>
              <a:cs typeface="+mn-cs"/>
            </a:rPr>
            <a:t> the projected results of different OAV application schedules.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The model assumes "normal" rates of varroa reproductive success and population growth, and calculates the expected  percentages of the mite population in  the brood or on adult bees (and thus exposed to treatment), the number of  mites entering or exiting the brood each day, and the expected daily natural mite fall, as well as the number of mites killed by each inputted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Instructions</a:t>
          </a: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Use the four yellow cells at the top of the page to input values.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1:  </a:t>
          </a:r>
          <a:r>
            <a:rPr lang="en-US" sz="1100" b="0" i="0" baseline="0">
              <a:effectLst/>
              <a:latin typeface="+mn-lt"/>
              <a:ea typeface="+mn-ea"/>
              <a:cs typeface="+mn-cs"/>
            </a:rPr>
            <a:t>Enter either "S" or "F" for a summer or fall simulation.  </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2:  </a:t>
          </a:r>
          <a:r>
            <a:rPr lang="en-US" sz="1100" b="0" i="0" baseline="0">
              <a:effectLst/>
              <a:latin typeface="+mn-lt"/>
              <a:ea typeface="+mn-ea"/>
              <a:cs typeface="+mn-cs"/>
            </a:rPr>
            <a:t>Then use the model to back-calculate the starting mite population to enter, based upon your </a:t>
          </a:r>
          <a:r>
            <a:rPr lang="en-US" sz="1100" b="0" i="0" baseline="0">
              <a:solidFill>
                <a:srgbClr val="00B0F0"/>
              </a:solidFill>
              <a:effectLst/>
              <a:latin typeface="+mn-lt"/>
              <a:ea typeface="+mn-ea"/>
              <a:cs typeface="+mn-cs"/>
            </a:rPr>
            <a:t>mite wash</a:t>
          </a:r>
          <a:r>
            <a:rPr lang="en-US" sz="1100" b="0" i="0" baseline="0">
              <a:effectLst/>
              <a:latin typeface="+mn-lt"/>
              <a:ea typeface="+mn-ea"/>
              <a:cs typeface="+mn-cs"/>
            </a:rPr>
            <a:t> or </a:t>
          </a:r>
          <a:r>
            <a:rPr lang="en-US" sz="1100" b="1" i="0" baseline="0">
              <a:effectLst/>
              <a:latin typeface="+mn-lt"/>
              <a:ea typeface="+mn-ea"/>
              <a:cs typeface="+mn-cs"/>
            </a:rPr>
            <a:t>stickyboard</a:t>
          </a:r>
          <a:r>
            <a:rPr lang="en-US" sz="1100" b="0" i="0" baseline="0">
              <a:effectLst/>
              <a:latin typeface="+mn-lt"/>
              <a:ea typeface="+mn-ea"/>
              <a:cs typeface="+mn-cs"/>
            </a:rPr>
            <a:t> counts from the field (this number is important only if you're trying to zero the infestation rate, which takes longer at higher starting mite levels).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baseline="0">
              <a:effectLst/>
              <a:latin typeface="+mn-lt"/>
              <a:ea typeface="+mn-ea"/>
              <a:cs typeface="+mn-cs"/>
            </a:rPr>
            <a:t>At this point, the model will graph out the projected mite increase over the next two months</a:t>
          </a:r>
          <a:r>
            <a:rPr lang="en-US" sz="1100" b="0" i="0" baseline="0">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3:  </a:t>
          </a:r>
          <a:r>
            <a:rPr lang="en-US" sz="1100" b="0" i="0" baseline="0">
              <a:effectLst/>
              <a:latin typeface="+mn-lt"/>
              <a:ea typeface="+mn-ea"/>
              <a:cs typeface="+mn-cs"/>
            </a:rPr>
            <a:t>For expected efficacy, input the percent kill of the phoretic mites (the model spreads this kill over 5 days).  90 or 95 would generally be a reasonable value, unless it's really cold*.</a:t>
          </a:r>
        </a:p>
        <a:p>
          <a:pPr marL="0" marR="0" lvl="0" indent="0" defTabSz="914400" eaLnBrk="1" fontAlgn="auto" latinLnBrk="0" hangingPunct="1">
            <a:lnSpc>
              <a:spcPct val="100000"/>
            </a:lnSpc>
            <a:spcBef>
              <a:spcPts val="0"/>
            </a:spcBef>
            <a:spcAft>
              <a:spcPts val="0"/>
            </a:spcAft>
            <a:buClrTx/>
            <a:buSzTx/>
            <a:buFontTx/>
            <a:buNone/>
            <a:tabLst/>
            <a:defRPr/>
          </a:pPr>
          <a:endParaRPr lang="en-US" sz="800" b="1" i="0" baseline="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4:   T</a:t>
          </a:r>
          <a:r>
            <a:rPr lang="en-US" sz="1100" b="0" i="0" baseline="0">
              <a:effectLst/>
              <a:latin typeface="+mn-lt"/>
              <a:ea typeface="+mn-ea"/>
              <a:cs typeface="+mn-cs"/>
            </a:rPr>
            <a:t>reatment interval.  Enter 4, 7, 10, 14, or "C" (for custom) for the number of days between OAV applications.  For a "custom" interval, enter the numeral "1" in </a:t>
          </a:r>
          <a:r>
            <a:rPr lang="en-US" sz="1100" b="1" i="0" baseline="0">
              <a:solidFill>
                <a:srgbClr val="FF0000"/>
              </a:solidFill>
              <a:effectLst/>
              <a:latin typeface="+mn-lt"/>
              <a:ea typeface="+mn-ea"/>
              <a:cs typeface="+mn-cs"/>
            </a:rPr>
            <a:t>this row</a:t>
          </a:r>
          <a:r>
            <a:rPr lang="en-US" sz="1100" b="0" i="0" baseline="0">
              <a:effectLst/>
              <a:latin typeface="+mn-lt"/>
              <a:ea typeface="+mn-ea"/>
              <a:cs typeface="+mn-cs"/>
            </a:rPr>
            <a:t> for each each date that you wish to apply a vaporization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*Y</a:t>
          </a:r>
          <a:r>
            <a:rPr lang="en-US" sz="1100">
              <a:effectLst/>
              <a:latin typeface="+mn-lt"/>
              <a:ea typeface="+mn-ea"/>
              <a:cs typeface="+mn-cs"/>
            </a:rPr>
            <a:t>ou can determine actual efficacy for your vaporizer and conditions by taking mite-wash counts before, and 5 days after an OAV). For small colonies during a broodless period, 95% is a reasonable value (one gets diminishing returns above 85%), whereas for larger colonies, or for applications in cold weather, use a lower value.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67</xdr:col>
      <xdr:colOff>488156</xdr:colOff>
      <xdr:row>36</xdr:row>
      <xdr:rowOff>130968</xdr:rowOff>
    </xdr:from>
    <xdr:to>
      <xdr:col>73</xdr:col>
      <xdr:colOff>107156</xdr:colOff>
      <xdr:row>37</xdr:row>
      <xdr:rowOff>154781</xdr:rowOff>
    </xdr:to>
    <xdr:cxnSp macro="">
      <xdr:nvCxnSpPr>
        <xdr:cNvPr id="5" name="Straight Arrow Connector 4">
          <a:extLst>
            <a:ext uri="{FF2B5EF4-FFF2-40B4-BE49-F238E27FC236}">
              <a16:creationId xmlns:a16="http://schemas.microsoft.com/office/drawing/2014/main" id="{C113B580-ECA8-1F7C-AEF7-54C443CC36CF}"/>
            </a:ext>
          </a:extLst>
        </xdr:cNvPr>
        <xdr:cNvCxnSpPr/>
      </xdr:nvCxnSpPr>
      <xdr:spPr>
        <a:xfrm flipH="1">
          <a:off x="12549187" y="5631656"/>
          <a:ext cx="2774157" cy="6667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0.0989</cdr:x>
      <cdr:y>0.1487</cdr:y>
    </cdr:from>
    <cdr:to>
      <cdr:x>0.11355</cdr:x>
      <cdr:y>0.19424</cdr:y>
    </cdr:to>
    <cdr:cxnSp macro="">
      <cdr:nvCxnSpPr>
        <cdr:cNvPr id="3" name="Straight Arrow Connector 2">
          <a:extLst xmlns:a="http://schemas.openxmlformats.org/drawingml/2006/main">
            <a:ext uri="{FF2B5EF4-FFF2-40B4-BE49-F238E27FC236}">
              <a16:creationId xmlns:a16="http://schemas.microsoft.com/office/drawing/2014/main" id="{B94E5893-EBFD-BF15-FD3A-02157E8E6A6E}"/>
            </a:ext>
          </a:extLst>
        </cdr:cNvPr>
        <cdr:cNvCxnSpPr/>
      </cdr:nvCxnSpPr>
      <cdr:spPr>
        <a:xfrm xmlns:a="http://schemas.openxmlformats.org/drawingml/2006/main" flipH="1">
          <a:off x="1028691" y="774745"/>
          <a:ext cx="152379" cy="237271"/>
        </a:xfrm>
        <a:prstGeom xmlns:a="http://schemas.openxmlformats.org/drawingml/2006/main" prst="straightConnector1">
          <a:avLst/>
        </a:prstGeom>
        <a:ln xmlns:a="http://schemas.openxmlformats.org/drawingml/2006/main" w="15875">
          <a:solidFill>
            <a:srgbClr val="00B0F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0.95918</cdr:x>
      <cdr:y>0.36092</cdr:y>
    </cdr:from>
    <cdr:to>
      <cdr:x>0.97489</cdr:x>
      <cdr:y>0.64977</cdr:y>
    </cdr:to>
    <cdr:sp macro="" textlink="">
      <cdr:nvSpPr>
        <cdr:cNvPr id="2" name="TextBox 1">
          <a:extLst xmlns:a="http://schemas.openxmlformats.org/drawingml/2006/main">
            <a:ext uri="{FF2B5EF4-FFF2-40B4-BE49-F238E27FC236}">
              <a16:creationId xmlns:a16="http://schemas.microsoft.com/office/drawing/2014/main" id="{EB99327A-B301-C20A-1FAB-D9425EE0B98F}"/>
            </a:ext>
          </a:extLst>
        </cdr:cNvPr>
        <cdr:cNvSpPr txBox="1"/>
      </cdr:nvSpPr>
      <cdr:spPr>
        <a:xfrm xmlns:a="http://schemas.openxmlformats.org/drawingml/2006/main" rot="16200000">
          <a:off x="9305931" y="2551226"/>
          <a:ext cx="1504949" cy="16339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100" b="0" kern="1200"/>
            <a:t>Projected</a:t>
          </a:r>
          <a:r>
            <a:rPr lang="en-US" sz="1100" b="0" kern="1200" baseline="0"/>
            <a:t> </a:t>
          </a:r>
          <a:r>
            <a:rPr lang="en-US" sz="1100" b="1" i="1" kern="1200" baseline="0"/>
            <a:t>d</a:t>
          </a:r>
          <a:r>
            <a:rPr lang="en-US" sz="1100" b="1" i="1" kern="1200"/>
            <a:t>aily </a:t>
          </a:r>
          <a:r>
            <a:rPr lang="en-US" sz="1100" b="0" kern="1200"/>
            <a:t>mite drop</a:t>
          </a:r>
        </a:p>
      </cdr:txBody>
    </cdr:sp>
  </cdr:relSizeAnchor>
  <cdr:relSizeAnchor xmlns:cdr="http://schemas.openxmlformats.org/drawingml/2006/chartDrawing">
    <cdr:from>
      <cdr:x>0.95055</cdr:x>
      <cdr:y>0.65265</cdr:y>
    </cdr:from>
    <cdr:to>
      <cdr:x>0.96429</cdr:x>
      <cdr:y>0.69104</cdr:y>
    </cdr:to>
    <cdr:cxnSp macro="">
      <cdr:nvCxnSpPr>
        <cdr:cNvPr id="11" name="Straight Arrow Connector 10">
          <a:extLst xmlns:a="http://schemas.openxmlformats.org/drawingml/2006/main">
            <a:ext uri="{FF2B5EF4-FFF2-40B4-BE49-F238E27FC236}">
              <a16:creationId xmlns:a16="http://schemas.microsoft.com/office/drawing/2014/main" id="{5FA1A2C1-41C8-5B4D-5790-91709F4D698D}"/>
            </a:ext>
          </a:extLst>
        </cdr:cNvPr>
        <cdr:cNvCxnSpPr/>
      </cdr:nvCxnSpPr>
      <cdr:spPr>
        <a:xfrm xmlns:a="http://schemas.openxmlformats.org/drawingml/2006/main" flipH="1">
          <a:off x="9886949" y="3400424"/>
          <a:ext cx="142875" cy="20002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0.97436</cdr:x>
      <cdr:y>0.33042</cdr:y>
    </cdr:from>
    <cdr:to>
      <cdr:x>0.99634</cdr:x>
      <cdr:y>0.75732</cdr:y>
    </cdr:to>
    <cdr:pic>
      <cdr:nvPicPr>
        <cdr:cNvPr id="16" name="chart">
          <a:extLst xmlns:a="http://schemas.openxmlformats.org/drawingml/2006/main">
            <a:ext uri="{FF2B5EF4-FFF2-40B4-BE49-F238E27FC236}">
              <a16:creationId xmlns:a16="http://schemas.microsoft.com/office/drawing/2014/main" id="{FC7EF6F1-94DE-AFED-C1E5-E6049132DB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9136777" y="2719354"/>
          <a:ext cx="2224223" cy="228621"/>
        </a:xfrm>
        <a:prstGeom xmlns:a="http://schemas.openxmlformats.org/drawingml/2006/main" prst="rect">
          <a:avLst/>
        </a:prstGeom>
      </cdr:spPr>
    </cdr:pic>
  </cdr:relSizeAnchor>
  <cdr:relSizeAnchor xmlns:cdr="http://schemas.openxmlformats.org/drawingml/2006/chartDrawing">
    <cdr:from>
      <cdr:x>0.04945</cdr:x>
      <cdr:y>0.84459</cdr:y>
    </cdr:from>
    <cdr:to>
      <cdr:x>0.92857</cdr:x>
      <cdr:y>1</cdr:y>
    </cdr:to>
    <cdr:pic>
      <cdr:nvPicPr>
        <cdr:cNvPr id="12" name="chart">
          <a:extLst xmlns:a="http://schemas.openxmlformats.org/drawingml/2006/main">
            <a:ext uri="{FF2B5EF4-FFF2-40B4-BE49-F238E27FC236}">
              <a16:creationId xmlns:a16="http://schemas.microsoft.com/office/drawing/2014/main" id="{9CF66CF1-308E-F3A2-19F3-AB4DC137D57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514350" y="4400436"/>
          <a:ext cx="9143999" cy="809738"/>
        </a:xfrm>
        <a:prstGeom xmlns:a="http://schemas.openxmlformats.org/drawingml/2006/main" prst="rect">
          <a:avLst/>
        </a:prstGeom>
        <a:ln xmlns:a="http://schemas.openxmlformats.org/drawingml/2006/main">
          <a:solidFill>
            <a:sysClr val="windowText" lastClr="000000"/>
          </a:solidFill>
        </a:ln>
      </cdr:spPr>
    </cdr:pic>
  </cdr:relSizeAnchor>
  <cdr:relSizeAnchor xmlns:cdr="http://schemas.openxmlformats.org/drawingml/2006/chartDrawing">
    <cdr:from>
      <cdr:x>0.06319</cdr:x>
      <cdr:y>0.75503</cdr:y>
    </cdr:from>
    <cdr:to>
      <cdr:x>0.94597</cdr:x>
      <cdr:y>0.79707</cdr:y>
    </cdr:to>
    <cdr:sp macro="" textlink="">
      <cdr:nvSpPr>
        <cdr:cNvPr id="13" name="Rectangle 12">
          <a:extLst xmlns:a="http://schemas.openxmlformats.org/drawingml/2006/main">
            <a:ext uri="{FF2B5EF4-FFF2-40B4-BE49-F238E27FC236}">
              <a16:creationId xmlns:a16="http://schemas.microsoft.com/office/drawing/2014/main" id="{F5D18272-B70A-A2E2-AEA4-C1E3982FB908}"/>
            </a:ext>
          </a:extLst>
        </cdr:cNvPr>
        <cdr:cNvSpPr/>
      </cdr:nvSpPr>
      <cdr:spPr>
        <a:xfrm xmlns:a="http://schemas.openxmlformats.org/drawingml/2006/main">
          <a:off x="657224" y="3933824"/>
          <a:ext cx="9182100" cy="219075"/>
        </a:xfrm>
        <a:prstGeom xmlns:a="http://schemas.openxmlformats.org/drawingml/2006/main" prst="rect">
          <a:avLst/>
        </a:prstGeom>
        <a:noFill xmlns:a="http://schemas.openxmlformats.org/drawingml/2006/main"/>
        <a:ln xmlns:a="http://schemas.openxmlformats.org/drawingml/2006/main" w="6350">
          <a:solidFill>
            <a:schemeClr val="accent6">
              <a:lumMod val="7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7199-0575-42FE-A935-4A2AB8DC4205}">
  <dimension ref="B2:EJ133"/>
  <sheetViews>
    <sheetView tabSelected="1" zoomScaleNormal="100" zoomScaleSheetLayoutView="50" workbookViewId="0">
      <selection activeCell="BR9" sqref="BR9"/>
    </sheetView>
  </sheetViews>
  <sheetFormatPr defaultRowHeight="12.75"/>
  <cols>
    <col min="1" max="1" width="11.5703125" customWidth="1"/>
    <col min="2" max="67" width="2.7109375" customWidth="1"/>
    <col min="68" max="68" width="7.7109375" customWidth="1"/>
    <col min="69" max="70" width="10.5703125" customWidth="1"/>
    <col min="71" max="71" width="7.140625" bestFit="1" customWidth="1"/>
    <col min="72" max="74" width="5.7109375" customWidth="1"/>
    <col min="75" max="75" width="3.28515625" customWidth="1"/>
    <col min="76" max="82" width="5.7109375" customWidth="1"/>
    <col min="87" max="87" width="10.7109375" customWidth="1"/>
    <col min="88" max="88" width="7.140625" style="19" bestFit="1" customWidth="1"/>
    <col min="89" max="89" width="15.5703125" style="19" customWidth="1"/>
    <col min="90" max="90" width="9" style="19"/>
    <col min="91" max="93" width="12.7109375" style="19" customWidth="1"/>
    <col min="94" max="94" width="14.5703125" style="19" customWidth="1"/>
    <col min="95" max="98" width="15.5703125" style="19" customWidth="1"/>
    <col min="99" max="99" width="12.7109375" style="20" customWidth="1"/>
    <col min="100" max="101" width="10.7109375" style="20" customWidth="1"/>
    <col min="102" max="102" width="14.7109375" style="20" customWidth="1"/>
    <col min="103" max="103" width="10.7109375" style="20" customWidth="1"/>
    <col min="104" max="104" width="12.7109375" style="20" customWidth="1"/>
    <col min="105" max="112" width="10.7109375" style="20" customWidth="1"/>
    <col min="113" max="113" width="12.7109375" style="20" customWidth="1"/>
    <col min="114" max="114" width="10.7109375" style="21" customWidth="1"/>
    <col min="115" max="117" width="10.7109375" style="20" customWidth="1"/>
    <col min="118" max="122" width="9" style="19"/>
    <col min="123" max="123" width="12.5703125" style="19" customWidth="1"/>
    <col min="124" max="125" width="9" style="19"/>
    <col min="126" max="126" width="15.5703125" style="19" customWidth="1"/>
    <col min="127" max="127" width="10.7109375" style="19" customWidth="1"/>
    <col min="128" max="128" width="12.5703125" style="19" customWidth="1"/>
    <col min="129" max="133" width="9" style="19"/>
    <col min="134" max="136" width="10.7109375" style="19" customWidth="1"/>
    <col min="137" max="138" width="9" style="19"/>
    <col min="139" max="139" width="9.5703125" style="19" customWidth="1"/>
    <col min="140" max="140" width="9" style="19"/>
  </cols>
  <sheetData>
    <row r="2" spans="2:117">
      <c r="B2" s="100" t="s">
        <v>0</v>
      </c>
      <c r="C2" s="100"/>
      <c r="D2" s="100"/>
      <c r="E2" s="100"/>
      <c r="F2" s="100"/>
      <c r="G2" s="100"/>
      <c r="H2" s="100"/>
      <c r="I2" s="100"/>
      <c r="J2" s="100"/>
      <c r="K2" s="100"/>
      <c r="L2" s="100"/>
      <c r="M2" s="100"/>
      <c r="O2" s="98" t="s">
        <v>55</v>
      </c>
      <c r="P2" s="98"/>
      <c r="Q2" s="98"/>
      <c r="R2" s="98"/>
      <c r="S2" s="99"/>
      <c r="T2" s="99"/>
      <c r="U2" s="99"/>
      <c r="V2" s="98"/>
    </row>
    <row r="3" spans="2:117" ht="12.75" customHeight="1">
      <c r="B3" s="100"/>
      <c r="C3" s="100"/>
      <c r="D3" s="100"/>
      <c r="E3" s="100"/>
      <c r="F3" s="100"/>
      <c r="G3" s="100"/>
      <c r="H3" s="100"/>
      <c r="I3" s="100"/>
      <c r="J3" s="100"/>
      <c r="K3" s="100"/>
      <c r="L3" s="100"/>
      <c r="M3" s="100"/>
      <c r="N3" s="92"/>
      <c r="R3" s="96" t="s">
        <v>2</v>
      </c>
      <c r="S3" s="101" t="s">
        <v>69</v>
      </c>
      <c r="T3" s="101"/>
      <c r="U3" s="101"/>
      <c r="V3" s="88" t="s">
        <v>3</v>
      </c>
      <c r="W3" s="92"/>
      <c r="X3" s="92"/>
      <c r="Y3" s="92"/>
      <c r="Z3" s="92"/>
      <c r="AA3" s="92"/>
      <c r="AB3" s="92"/>
      <c r="AC3" s="92"/>
      <c r="AD3" s="92"/>
      <c r="AE3" s="92"/>
    </row>
    <row r="4" spans="2:117" ht="13.15" customHeight="1">
      <c r="B4" s="100"/>
      <c r="C4" s="100"/>
      <c r="D4" s="100"/>
      <c r="E4" s="100"/>
      <c r="F4" s="100"/>
      <c r="G4" s="100"/>
      <c r="H4" s="100"/>
      <c r="I4" s="100"/>
      <c r="J4" s="100"/>
      <c r="K4" s="100"/>
      <c r="L4" s="100"/>
      <c r="M4" s="100"/>
      <c r="N4" s="92"/>
      <c r="R4" s="97" t="s">
        <v>4</v>
      </c>
      <c r="S4" s="101">
        <v>1000</v>
      </c>
      <c r="T4" s="101"/>
      <c r="U4" s="101"/>
      <c r="V4" s="88" t="s">
        <v>5</v>
      </c>
      <c r="W4" s="92"/>
      <c r="X4" s="92"/>
      <c r="Y4" s="92"/>
      <c r="Z4" s="92"/>
      <c r="AA4" s="92"/>
      <c r="AB4" s="92"/>
      <c r="AC4" s="92"/>
      <c r="AD4" s="92"/>
      <c r="AE4" s="92"/>
    </row>
    <row r="5" spans="2:117" ht="12.75" customHeight="1">
      <c r="B5" s="100"/>
      <c r="C5" s="100"/>
      <c r="D5" s="100"/>
      <c r="E5" s="100"/>
      <c r="F5" s="100"/>
      <c r="G5" s="100"/>
      <c r="H5" s="100"/>
      <c r="I5" s="100"/>
      <c r="J5" s="100"/>
      <c r="K5" s="100"/>
      <c r="L5" s="100"/>
      <c r="M5" s="100"/>
      <c r="N5" s="92"/>
      <c r="O5" s="92"/>
      <c r="P5" s="92"/>
      <c r="Q5" s="92"/>
      <c r="R5" s="97" t="s">
        <v>64</v>
      </c>
      <c r="S5" s="102"/>
      <c r="T5" s="102"/>
      <c r="U5" s="102"/>
      <c r="V5" s="22" t="s">
        <v>6</v>
      </c>
      <c r="W5" s="92"/>
      <c r="X5" s="92"/>
      <c r="Y5" s="92"/>
      <c r="Z5" s="92"/>
      <c r="AA5" s="92"/>
      <c r="AB5" s="92"/>
      <c r="AC5" s="92"/>
      <c r="AD5" s="92"/>
      <c r="AE5" s="92"/>
      <c r="AF5" s="92"/>
      <c r="AG5" s="92"/>
      <c r="AN5" s="92"/>
    </row>
    <row r="6" spans="2:117" ht="13.15" customHeight="1">
      <c r="B6" s="111" t="s">
        <v>1</v>
      </c>
      <c r="C6" s="111"/>
      <c r="D6" s="111"/>
      <c r="E6" s="111"/>
      <c r="F6" s="112">
        <v>46138</v>
      </c>
      <c r="G6" s="112"/>
      <c r="H6" s="112"/>
      <c r="I6" s="112"/>
      <c r="J6" s="112"/>
      <c r="L6" s="2"/>
      <c r="O6" s="3"/>
      <c r="P6" s="3"/>
      <c r="Q6" s="3"/>
      <c r="R6" s="97" t="s">
        <v>7</v>
      </c>
      <c r="S6" s="122"/>
      <c r="T6" s="122"/>
      <c r="U6" s="122"/>
      <c r="V6" s="88" t="s">
        <v>8</v>
      </c>
      <c r="W6" s="3"/>
      <c r="X6" s="3"/>
      <c r="Y6" s="3"/>
      <c r="Z6" s="3"/>
      <c r="AA6" s="3"/>
      <c r="AB6" s="3"/>
      <c r="AC6" s="3"/>
      <c r="AD6" s="3"/>
      <c r="AE6" s="3"/>
      <c r="AF6" s="3"/>
      <c r="AG6" s="3"/>
      <c r="AN6" s="3"/>
      <c r="AO6" s="3"/>
      <c r="AP6" s="3"/>
      <c r="AQ6" s="2"/>
      <c r="DL6" s="19"/>
      <c r="DM6" s="19"/>
    </row>
    <row r="7" spans="2:117" ht="13.15" customHeight="1">
      <c r="CO7" s="22"/>
      <c r="CP7" s="22"/>
      <c r="CQ7" s="22"/>
      <c r="CR7" s="22"/>
      <c r="CS7" s="22"/>
      <c r="CT7" s="22"/>
      <c r="CU7" s="22"/>
      <c r="DL7" s="19"/>
      <c r="DM7" s="19"/>
    </row>
    <row r="8" spans="2:117">
      <c r="DL8" s="19"/>
      <c r="DM8" s="19"/>
    </row>
    <row r="9" spans="2:117" ht="12.75" customHeight="1">
      <c r="CU9" s="19"/>
      <c r="DF9" s="19"/>
      <c r="DG9" s="19"/>
      <c r="DH9" s="19"/>
      <c r="DI9" s="19"/>
      <c r="DL9" s="19"/>
      <c r="DM9" s="19"/>
    </row>
    <row r="10" spans="2:117" ht="12.75" customHeight="1">
      <c r="DF10" s="19"/>
      <c r="DG10" s="19"/>
      <c r="DH10" s="19"/>
      <c r="DI10" s="19"/>
      <c r="DL10" s="19"/>
      <c r="DM10" s="19"/>
    </row>
    <row r="11" spans="2:117" ht="12.75" customHeight="1">
      <c r="CU11" s="23"/>
      <c r="DF11" s="19"/>
      <c r="DG11" s="19"/>
      <c r="DH11" s="19"/>
      <c r="DI11" s="19"/>
      <c r="DL11" s="19"/>
      <c r="DM11" s="19"/>
    </row>
    <row r="12" spans="2:117">
      <c r="CV12" s="19"/>
      <c r="CW12" s="19"/>
      <c r="DF12" s="19"/>
      <c r="DG12" s="19"/>
      <c r="DH12" s="19"/>
      <c r="DI12" s="19"/>
      <c r="DL12" s="19"/>
      <c r="DM12" s="19"/>
    </row>
    <row r="13" spans="2:117">
      <c r="CV13" s="19"/>
      <c r="CW13" s="19"/>
      <c r="DF13" s="19"/>
      <c r="DG13" s="19"/>
      <c r="DH13" s="19"/>
      <c r="DI13" s="19"/>
      <c r="DL13" s="19"/>
      <c r="DM13" s="19"/>
    </row>
    <row r="14" spans="2:117">
      <c r="AQ14" s="6"/>
      <c r="CE14" s="7"/>
      <c r="CI14" t="s">
        <v>9</v>
      </c>
      <c r="CV14" s="19"/>
      <c r="CW14" s="19"/>
      <c r="DF14" s="19"/>
      <c r="DG14" s="19"/>
      <c r="DH14" s="19"/>
      <c r="DI14" s="19"/>
      <c r="DL14" s="19"/>
      <c r="DM14" s="19"/>
    </row>
    <row r="15" spans="2:117">
      <c r="CE15" s="7"/>
      <c r="CI15" t="s">
        <v>9</v>
      </c>
      <c r="CV15" s="19"/>
      <c r="CW15" s="19"/>
      <c r="CX15" s="19"/>
      <c r="CY15" s="19"/>
      <c r="CZ15" s="19"/>
      <c r="DA15" s="19"/>
      <c r="DB15" s="19"/>
      <c r="DC15" s="19"/>
      <c r="DD15" s="19"/>
      <c r="DE15" s="19"/>
      <c r="DF15" s="19"/>
      <c r="DG15" s="19"/>
      <c r="DH15" s="19"/>
      <c r="DI15" s="19"/>
      <c r="DL15" s="19"/>
      <c r="DM15" s="19"/>
    </row>
    <row r="16" spans="2:117">
      <c r="CE16" s="7"/>
      <c r="CI16" t="s">
        <v>9</v>
      </c>
      <c r="CV16" s="19"/>
      <c r="CW16" s="19"/>
      <c r="CX16" s="19"/>
      <c r="CY16" s="19"/>
      <c r="CZ16" s="19"/>
      <c r="DA16" s="19"/>
      <c r="DB16" s="19"/>
      <c r="DC16" s="19"/>
      <c r="DD16" s="19"/>
      <c r="DE16" s="19"/>
      <c r="DF16" s="19"/>
      <c r="DG16" s="19"/>
      <c r="DH16" s="19"/>
      <c r="DI16" s="19"/>
      <c r="DL16" s="19"/>
      <c r="DM16" s="19"/>
    </row>
    <row r="17" spans="83:117">
      <c r="CE17" s="7"/>
      <c r="CI17" t="s">
        <v>9</v>
      </c>
      <c r="CV17" s="19"/>
      <c r="CW17" s="19"/>
      <c r="CX17" s="19"/>
      <c r="CY17" s="19"/>
      <c r="CZ17" s="19"/>
      <c r="DA17" s="19"/>
      <c r="DB17" s="19"/>
      <c r="DC17" s="19"/>
      <c r="DD17" s="19"/>
      <c r="DE17" s="19"/>
      <c r="DF17" s="19"/>
      <c r="DG17" s="19"/>
      <c r="DH17" s="19"/>
      <c r="DI17" s="19"/>
      <c r="DL17" s="19"/>
      <c r="DM17" s="19"/>
    </row>
    <row r="18" spans="83:117">
      <c r="CE18" s="7"/>
      <c r="CV18" s="19"/>
      <c r="CW18" s="19"/>
      <c r="CX18" s="19"/>
      <c r="CY18" s="19"/>
      <c r="CZ18" s="19"/>
      <c r="DA18" s="19"/>
      <c r="DB18" s="19"/>
      <c r="DC18" s="19"/>
      <c r="DD18" s="19"/>
      <c r="DE18" s="19"/>
      <c r="DF18" s="19"/>
      <c r="DG18" s="19"/>
      <c r="DH18" s="19"/>
      <c r="DI18" s="19"/>
      <c r="DL18" s="19"/>
      <c r="DM18" s="19"/>
    </row>
    <row r="19" spans="83:117">
      <c r="CE19" s="8"/>
      <c r="CF19" s="8"/>
      <c r="CV19" s="19"/>
      <c r="CW19" s="19"/>
      <c r="CX19" s="19"/>
      <c r="CY19" s="19"/>
      <c r="CZ19" s="19"/>
      <c r="DA19" s="19"/>
      <c r="DB19" s="19"/>
      <c r="DC19" s="19"/>
      <c r="DD19" s="19"/>
      <c r="DE19" s="19"/>
      <c r="DF19" s="19"/>
      <c r="DG19" s="19"/>
      <c r="DH19" s="19"/>
      <c r="DI19" s="19"/>
      <c r="DL19" s="19"/>
      <c r="DM19" s="19"/>
    </row>
    <row r="20" spans="83:117">
      <c r="CE20" s="9"/>
      <c r="CF20" s="9"/>
      <c r="CG20" s="10"/>
      <c r="CH20" s="5"/>
      <c r="CI20" s="10"/>
      <c r="CJ20" s="24"/>
      <c r="CV20" s="19"/>
      <c r="CW20" s="19"/>
      <c r="CX20" s="19"/>
      <c r="CY20" s="19"/>
      <c r="CZ20" s="19"/>
      <c r="DA20" s="19"/>
      <c r="DB20" s="19"/>
      <c r="DC20" s="19"/>
      <c r="DD20" s="19"/>
      <c r="DE20" s="19"/>
      <c r="DF20" s="19"/>
      <c r="DG20" s="19"/>
      <c r="DH20" s="19"/>
      <c r="DI20" s="19"/>
      <c r="DL20" s="19"/>
      <c r="DM20" s="19"/>
    </row>
    <row r="21" spans="83:117">
      <c r="CE21" s="9"/>
      <c r="CF21" s="9"/>
      <c r="CG21" s="10"/>
      <c r="CH21" s="5"/>
      <c r="CI21" s="10"/>
      <c r="CJ21" s="24"/>
      <c r="CV21" s="19"/>
      <c r="CW21" s="19"/>
      <c r="CY21" s="19"/>
      <c r="CZ21" s="19"/>
      <c r="DA21" s="19"/>
      <c r="DB21" s="19"/>
      <c r="DC21" s="19"/>
      <c r="DD21" s="19"/>
      <c r="DE21" s="19"/>
      <c r="DF21" s="19"/>
      <c r="DG21" s="19"/>
      <c r="DH21" s="19"/>
      <c r="DI21" s="19"/>
      <c r="DL21" s="19"/>
      <c r="DM21" s="19"/>
    </row>
    <row r="22" spans="83:117">
      <c r="CE22" s="9"/>
      <c r="CF22" s="9"/>
      <c r="CG22" s="10"/>
      <c r="CH22" s="5"/>
      <c r="CI22" s="10"/>
      <c r="CJ22" s="24"/>
      <c r="CV22" s="19"/>
      <c r="CW22" s="19"/>
      <c r="CX22" s="19"/>
      <c r="CY22" s="19"/>
      <c r="CZ22" s="19"/>
      <c r="DA22" s="19"/>
      <c r="DB22" s="19"/>
      <c r="DC22" s="19"/>
      <c r="DD22" s="19"/>
      <c r="DE22" s="19"/>
      <c r="DF22" s="19"/>
      <c r="DG22" s="19"/>
      <c r="DH22" s="19"/>
      <c r="DI22" s="19"/>
      <c r="DL22" s="19"/>
      <c r="DM22" s="19"/>
    </row>
    <row r="23" spans="83:117">
      <c r="CE23" s="9"/>
      <c r="CF23" s="9"/>
      <c r="CG23" s="10"/>
      <c r="CH23" s="5"/>
      <c r="CI23" s="10"/>
      <c r="CJ23" s="24"/>
      <c r="CV23" s="19"/>
      <c r="CW23" s="19"/>
      <c r="CX23" s="19"/>
      <c r="CY23" s="19"/>
      <c r="CZ23" s="19"/>
      <c r="DA23" s="19"/>
      <c r="DB23" s="19"/>
      <c r="DC23" s="19"/>
      <c r="DD23" s="19"/>
      <c r="DE23" s="19"/>
      <c r="DF23" s="19"/>
      <c r="DG23" s="19"/>
      <c r="DH23" s="19"/>
      <c r="DI23" s="19"/>
      <c r="DL23" s="19"/>
      <c r="DM23" s="19"/>
    </row>
    <row r="24" spans="83:117">
      <c r="CE24" s="9"/>
      <c r="CF24" s="9"/>
      <c r="CG24" s="10"/>
      <c r="CH24" s="5"/>
      <c r="CI24" s="10"/>
      <c r="CJ24" s="24"/>
      <c r="CV24" s="19"/>
      <c r="CW24" s="19"/>
      <c r="CX24" s="19"/>
      <c r="CY24" s="19"/>
      <c r="CZ24" s="19"/>
      <c r="DA24" s="19"/>
      <c r="DB24" s="19"/>
      <c r="DC24" s="19"/>
      <c r="DD24" s="19"/>
      <c r="DE24" s="19"/>
      <c r="DF24" s="19"/>
      <c r="DG24" s="19"/>
      <c r="DH24" s="19"/>
      <c r="DI24" s="19"/>
      <c r="DL24" s="19"/>
      <c r="DM24" s="19"/>
    </row>
    <row r="25" spans="83:117">
      <c r="CE25" s="7"/>
      <c r="CG25" s="11"/>
      <c r="CH25" s="5"/>
      <c r="CI25" s="12"/>
      <c r="CJ25" s="25"/>
      <c r="CV25" s="19"/>
      <c r="CW25" s="19"/>
      <c r="CX25" s="19"/>
      <c r="CY25" s="19"/>
      <c r="CZ25" s="19"/>
      <c r="DA25" s="19"/>
      <c r="DB25" s="19"/>
      <c r="DC25" s="19"/>
      <c r="DD25" s="19"/>
      <c r="DE25" s="19"/>
      <c r="DF25" s="19"/>
      <c r="DG25" s="19"/>
      <c r="DH25" s="19"/>
      <c r="DI25" s="19"/>
      <c r="DL25" s="19"/>
      <c r="DM25" s="19"/>
    </row>
    <row r="26" spans="83:117">
      <c r="CV26" s="19"/>
      <c r="CW26" s="19"/>
      <c r="CX26" s="19"/>
      <c r="CY26" s="19"/>
      <c r="CZ26" s="19"/>
      <c r="DA26" s="19"/>
      <c r="DB26" s="19"/>
      <c r="DC26" s="19"/>
      <c r="DD26" s="19"/>
      <c r="DE26" s="19"/>
      <c r="DF26" s="19"/>
      <c r="DG26" s="19"/>
      <c r="DH26" s="19"/>
      <c r="DI26" s="19"/>
      <c r="DL26" s="19"/>
      <c r="DM26" s="19"/>
    </row>
    <row r="27" spans="83:117">
      <c r="CV27" s="19"/>
      <c r="CW27" s="19"/>
      <c r="CX27" s="19"/>
      <c r="CY27" s="19"/>
      <c r="CZ27" s="19"/>
      <c r="DA27" s="19"/>
      <c r="DB27" s="19"/>
      <c r="DC27" s="19"/>
      <c r="DD27" s="19"/>
      <c r="DE27" s="19"/>
      <c r="DF27" s="19"/>
      <c r="DG27" s="19"/>
      <c r="DH27" s="19"/>
      <c r="DI27" s="19"/>
      <c r="DL27" s="19"/>
      <c r="DM27" s="19"/>
    </row>
    <row r="28" spans="83:117">
      <c r="CV28" s="19"/>
      <c r="CW28" s="19"/>
      <c r="CX28" s="19"/>
      <c r="CY28" s="19"/>
      <c r="CZ28" s="19"/>
      <c r="DA28" s="19"/>
      <c r="DB28" s="19"/>
      <c r="DC28" s="19"/>
      <c r="DD28" s="19"/>
      <c r="DE28" s="19"/>
      <c r="DF28" s="19"/>
      <c r="DG28" s="19"/>
      <c r="DH28" s="19"/>
      <c r="DI28" s="19"/>
      <c r="DL28" s="19"/>
      <c r="DM28" s="19"/>
    </row>
    <row r="29" spans="83:117">
      <c r="CV29" s="19"/>
      <c r="CW29" s="19"/>
      <c r="CX29" s="19"/>
      <c r="CY29" s="19"/>
      <c r="CZ29" s="19"/>
      <c r="DA29" s="19"/>
      <c r="DB29" s="19"/>
      <c r="DC29" s="19"/>
      <c r="DD29" s="19"/>
      <c r="DE29" s="19"/>
      <c r="DF29" s="19"/>
      <c r="DG29" s="19"/>
      <c r="DH29" s="19"/>
      <c r="DI29" s="19"/>
      <c r="DL29" s="19"/>
      <c r="DM29" s="19"/>
    </row>
    <row r="30" spans="83:117">
      <c r="CV30" s="19"/>
      <c r="CW30" s="19"/>
      <c r="CX30" s="19"/>
      <c r="CY30" s="19"/>
      <c r="CZ30" s="19"/>
      <c r="DA30" s="19"/>
      <c r="DB30" s="19"/>
      <c r="DC30" s="19"/>
      <c r="DD30" s="19"/>
      <c r="DE30" s="19"/>
      <c r="DF30" s="19"/>
      <c r="DG30" s="19"/>
      <c r="DH30" s="19"/>
      <c r="DI30" s="19"/>
      <c r="DL30" s="19"/>
      <c r="DM30" s="19"/>
    </row>
    <row r="31" spans="83:117">
      <c r="CV31" s="19"/>
      <c r="CW31" s="19"/>
      <c r="CX31" s="19"/>
      <c r="CY31" s="19"/>
      <c r="CZ31" s="19"/>
      <c r="DA31" s="19"/>
      <c r="DB31" s="19"/>
      <c r="DC31" s="19"/>
      <c r="DD31" s="19"/>
      <c r="DE31" s="19"/>
      <c r="DF31" s="19"/>
      <c r="DG31" s="19"/>
      <c r="DH31" s="19"/>
      <c r="DI31" s="19"/>
      <c r="DL31" s="19"/>
      <c r="DM31" s="19"/>
    </row>
    <row r="32" spans="83:117">
      <c r="CE32" s="7"/>
      <c r="CV32" s="19"/>
      <c r="CW32" s="19"/>
      <c r="CX32" s="19"/>
      <c r="CY32" s="19"/>
      <c r="CZ32" s="19"/>
      <c r="DA32" s="19"/>
      <c r="DB32" s="19"/>
      <c r="DC32" s="19"/>
      <c r="DD32" s="19"/>
      <c r="DE32" s="19"/>
      <c r="DF32" s="19"/>
      <c r="DG32" s="19"/>
      <c r="DH32" s="19"/>
      <c r="DI32" s="19"/>
      <c r="DL32" s="19"/>
      <c r="DM32" s="19"/>
    </row>
    <row r="33" spans="2:140">
      <c r="CE33" s="7"/>
      <c r="CV33" s="19"/>
      <c r="CW33" s="19"/>
      <c r="CX33" s="19"/>
      <c r="CY33" s="19"/>
      <c r="CZ33" s="19"/>
      <c r="DA33" s="19"/>
      <c r="DB33" s="19"/>
      <c r="DC33" s="19"/>
      <c r="DD33" s="19"/>
      <c r="DE33" s="19"/>
      <c r="DF33" s="19"/>
      <c r="DG33" s="19"/>
      <c r="DH33" s="19"/>
      <c r="DI33" s="19"/>
      <c r="DL33" s="19"/>
      <c r="DM33" s="19"/>
    </row>
    <row r="34" spans="2:140">
      <c r="CE34" s="7"/>
      <c r="CV34" s="19"/>
      <c r="CW34" s="19"/>
      <c r="CX34" s="19"/>
      <c r="CY34" s="19"/>
      <c r="CZ34" s="19"/>
      <c r="DA34" s="19"/>
      <c r="DB34" s="19"/>
      <c r="DC34" s="19"/>
      <c r="DD34" s="19"/>
      <c r="DE34" s="19"/>
      <c r="DF34" s="19"/>
      <c r="DG34" s="19"/>
      <c r="DH34" s="19"/>
      <c r="DI34" s="19"/>
      <c r="DL34" s="19"/>
      <c r="DM34" s="19"/>
    </row>
    <row r="36" spans="2:140" ht="13.15" customHeight="1"/>
    <row r="37" spans="2:140" s="1" customFormat="1" ht="51" customHeight="1">
      <c r="EH37" s="19"/>
      <c r="EI37" s="19"/>
      <c r="EJ37" s="19"/>
    </row>
    <row r="38" spans="2:140" ht="12.75" customHeight="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row>
    <row r="39" spans="2:140">
      <c r="D39" s="93"/>
      <c r="E39" s="94"/>
      <c r="F39" s="94"/>
      <c r="G39" s="94"/>
      <c r="H39" s="94"/>
      <c r="I39" s="94"/>
      <c r="J39" s="94"/>
      <c r="K39" s="94"/>
      <c r="L39" s="94"/>
      <c r="M39" s="94"/>
      <c r="N39" s="94"/>
      <c r="O39" s="94"/>
      <c r="P39" s="94"/>
      <c r="Q39" s="94"/>
      <c r="R39" s="94"/>
      <c r="S39" s="94"/>
      <c r="T39" s="94"/>
      <c r="U39" s="94"/>
      <c r="V39" s="94">
        <v>1</v>
      </c>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v>1</v>
      </c>
      <c r="AU39" s="94"/>
      <c r="AV39" s="94"/>
      <c r="AW39" s="94"/>
      <c r="AX39" s="94"/>
      <c r="AY39" s="94"/>
      <c r="AZ39" s="94"/>
      <c r="BA39" s="94"/>
      <c r="BB39" s="94"/>
      <c r="BC39" s="94"/>
      <c r="BD39" s="94"/>
      <c r="BE39" s="94"/>
      <c r="BF39" s="94">
        <v>1</v>
      </c>
      <c r="BG39" s="94"/>
      <c r="BH39" s="94"/>
      <c r="BI39" s="94"/>
      <c r="BJ39" s="94"/>
      <c r="BK39" s="118" t="s">
        <v>68</v>
      </c>
      <c r="BL39" s="118"/>
      <c r="BM39" s="118"/>
      <c r="BN39" s="118"/>
      <c r="BO39" s="119"/>
    </row>
    <row r="40" spans="2:140" ht="12.75" customHeight="1">
      <c r="B40" s="98" t="s">
        <v>12</v>
      </c>
      <c r="C40" s="98"/>
      <c r="D40" s="95">
        <v>1</v>
      </c>
      <c r="E40" s="95">
        <v>2</v>
      </c>
      <c r="F40" s="95">
        <v>3</v>
      </c>
      <c r="G40" s="95">
        <v>4</v>
      </c>
      <c r="H40" s="95">
        <v>5</v>
      </c>
      <c r="I40" s="95">
        <v>6</v>
      </c>
      <c r="J40" s="95">
        <v>7</v>
      </c>
      <c r="K40" s="95">
        <v>8</v>
      </c>
      <c r="L40" s="95">
        <v>9</v>
      </c>
      <c r="M40" s="95">
        <v>10</v>
      </c>
      <c r="N40" s="95">
        <v>11</v>
      </c>
      <c r="O40" s="95">
        <v>12</v>
      </c>
      <c r="P40" s="95">
        <v>13</v>
      </c>
      <c r="Q40" s="95">
        <v>14</v>
      </c>
      <c r="R40" s="95">
        <v>15</v>
      </c>
      <c r="S40" s="95">
        <v>16</v>
      </c>
      <c r="T40" s="95">
        <v>17</v>
      </c>
      <c r="U40" s="95">
        <v>18</v>
      </c>
      <c r="V40" s="95">
        <v>19</v>
      </c>
      <c r="W40" s="95">
        <v>20</v>
      </c>
      <c r="X40" s="95">
        <v>21</v>
      </c>
      <c r="Y40" s="95">
        <v>22</v>
      </c>
      <c r="Z40" s="95">
        <v>23</v>
      </c>
      <c r="AA40" s="95">
        <v>24</v>
      </c>
      <c r="AB40" s="95">
        <v>25</v>
      </c>
      <c r="AC40" s="95">
        <v>26</v>
      </c>
      <c r="AD40" s="95">
        <v>27</v>
      </c>
      <c r="AE40" s="95">
        <v>28</v>
      </c>
      <c r="AF40" s="95">
        <v>29</v>
      </c>
      <c r="AG40" s="95">
        <v>30</v>
      </c>
      <c r="AH40" s="95">
        <v>31</v>
      </c>
      <c r="AI40" s="95">
        <v>32</v>
      </c>
      <c r="AJ40" s="95">
        <v>33</v>
      </c>
      <c r="AK40" s="95">
        <v>34</v>
      </c>
      <c r="AL40" s="95">
        <v>35</v>
      </c>
      <c r="AM40" s="95">
        <v>36</v>
      </c>
      <c r="AN40" s="95">
        <v>37</v>
      </c>
      <c r="AO40" s="95">
        <v>38</v>
      </c>
      <c r="AP40" s="95">
        <v>39</v>
      </c>
      <c r="AQ40" s="95">
        <v>40</v>
      </c>
      <c r="AR40" s="95">
        <v>41</v>
      </c>
      <c r="AS40" s="95">
        <v>42</v>
      </c>
      <c r="AT40" s="95">
        <v>43</v>
      </c>
      <c r="AU40" s="95">
        <v>44</v>
      </c>
      <c r="AV40" s="95">
        <v>45</v>
      </c>
      <c r="AW40" s="95">
        <v>46</v>
      </c>
      <c r="AX40" s="95">
        <v>47</v>
      </c>
      <c r="AY40" s="95">
        <v>48</v>
      </c>
      <c r="AZ40" s="95">
        <v>49</v>
      </c>
      <c r="BA40" s="95">
        <v>50</v>
      </c>
      <c r="BB40" s="95">
        <v>51</v>
      </c>
      <c r="BC40" s="95">
        <v>52</v>
      </c>
      <c r="BD40" s="95">
        <v>53</v>
      </c>
      <c r="BE40" s="95">
        <v>54</v>
      </c>
      <c r="BF40" s="95">
        <v>55</v>
      </c>
      <c r="BG40" s="95">
        <v>56</v>
      </c>
      <c r="BH40" s="95">
        <v>57</v>
      </c>
      <c r="BI40" s="95">
        <v>58</v>
      </c>
      <c r="BJ40" s="95">
        <v>59</v>
      </c>
      <c r="BK40" s="120"/>
      <c r="BL40" s="120"/>
      <c r="BM40" s="120"/>
      <c r="BN40" s="120"/>
      <c r="BO40" s="121"/>
      <c r="BP40" s="89"/>
    </row>
    <row r="42" spans="2:140" ht="12.75" customHeight="1">
      <c r="BQ42" s="117" t="s">
        <v>45</v>
      </c>
      <c r="BR42" s="117"/>
      <c r="BS42" s="116">
        <v>35000</v>
      </c>
      <c r="BT42" s="115" t="s">
        <v>46</v>
      </c>
      <c r="BU42" s="115"/>
      <c r="BV42" s="115"/>
      <c r="BW42" s="115"/>
      <c r="BX42" s="115"/>
      <c r="BY42" s="115"/>
      <c r="BZ42" s="115"/>
      <c r="CA42" s="115"/>
      <c r="CB42" s="115"/>
      <c r="CC42" s="115"/>
      <c r="CD42" s="115"/>
      <c r="CE42" s="115"/>
      <c r="CF42" s="115"/>
    </row>
    <row r="43" spans="2:140" ht="12.75" customHeight="1">
      <c r="BM43" t="str">
        <f t="shared" ref="BM43:BM65" si="0">LEFT(BL43,2)</f>
        <v/>
      </c>
      <c r="BQ43" s="117"/>
      <c r="BR43" s="117"/>
      <c r="BS43" s="116"/>
      <c r="BT43" s="115"/>
      <c r="BU43" s="115"/>
      <c r="BV43" s="115"/>
      <c r="BW43" s="115"/>
      <c r="BX43" s="115"/>
      <c r="BY43" s="115"/>
      <c r="BZ43" s="115"/>
      <c r="CA43" s="115"/>
      <c r="CB43" s="115"/>
      <c r="CC43" s="115"/>
      <c r="CD43" s="115"/>
      <c r="CE43" s="115"/>
      <c r="CF43" s="115"/>
    </row>
    <row r="44" spans="2:140" ht="12.75" customHeight="1">
      <c r="BM44" t="str">
        <f t="shared" si="0"/>
        <v/>
      </c>
      <c r="BQ44" s="117"/>
      <c r="BR44" s="117"/>
      <c r="BS44" s="13">
        <v>1.4</v>
      </c>
      <c r="BT44" s="129" t="s">
        <v>47</v>
      </c>
      <c r="BU44" s="129"/>
      <c r="BV44" s="129"/>
      <c r="BW44" s="129"/>
      <c r="BX44" s="129"/>
      <c r="BY44" s="129"/>
      <c r="BZ44" s="129"/>
    </row>
    <row r="45" spans="2:140" ht="12.75" customHeight="1">
      <c r="BM45" t="str">
        <f t="shared" si="0"/>
        <v/>
      </c>
    </row>
    <row r="46" spans="2:140" ht="12.75" customHeight="1">
      <c r="BM46" t="str">
        <f t="shared" si="0"/>
        <v/>
      </c>
      <c r="BQ46" s="103" t="s">
        <v>48</v>
      </c>
      <c r="BR46" s="104"/>
      <c r="BS46" s="107">
        <f>(CL100-CL69)/CL69/31</f>
        <v>2.2649662410836244E-2</v>
      </c>
      <c r="BT46" s="128" t="s">
        <v>49</v>
      </c>
      <c r="BU46" s="128"/>
      <c r="BV46" s="128"/>
      <c r="BW46" s="128"/>
      <c r="BX46" s="128"/>
      <c r="BY46" s="128"/>
      <c r="BZ46" s="128"/>
      <c r="CA46" s="128"/>
      <c r="CB46" s="128"/>
      <c r="CC46" s="128"/>
      <c r="CD46" s="128"/>
      <c r="CE46" s="128"/>
      <c r="CF46" s="128"/>
    </row>
    <row r="47" spans="2:140" ht="12.75" customHeight="1">
      <c r="BM47" t="str">
        <f t="shared" si="0"/>
        <v/>
      </c>
      <c r="BQ47" s="105"/>
      <c r="BR47" s="106"/>
      <c r="BS47" s="108"/>
      <c r="BT47" s="128"/>
      <c r="BU47" s="128"/>
      <c r="BV47" s="128"/>
      <c r="BW47" s="128"/>
      <c r="BX47" s="128"/>
      <c r="BY47" s="128"/>
      <c r="BZ47" s="128"/>
      <c r="CA47" s="128"/>
      <c r="CB47" s="128"/>
      <c r="CC47" s="128"/>
      <c r="CD47" s="128"/>
      <c r="CE47" s="128"/>
      <c r="CF47" s="128"/>
    </row>
    <row r="48" spans="2:140">
      <c r="BM48" t="str">
        <f t="shared" si="0"/>
        <v/>
      </c>
    </row>
    <row r="49" spans="65:137">
      <c r="BM49" t="str">
        <f t="shared" si="0"/>
        <v/>
      </c>
    </row>
    <row r="50" spans="65:137">
      <c r="BM50" t="str">
        <f t="shared" si="0"/>
        <v/>
      </c>
    </row>
    <row r="51" spans="65:137">
      <c r="BM51" t="str">
        <f t="shared" si="0"/>
        <v/>
      </c>
    </row>
    <row r="52" spans="65:137">
      <c r="BM52" t="str">
        <f t="shared" si="0"/>
        <v/>
      </c>
    </row>
    <row r="53" spans="65:137">
      <c r="BM53" t="str">
        <f t="shared" si="0"/>
        <v/>
      </c>
      <c r="CG53" s="17"/>
    </row>
    <row r="54" spans="65:137">
      <c r="BM54" t="str">
        <f t="shared" si="0"/>
        <v/>
      </c>
      <c r="CU54" s="114" t="s">
        <v>62</v>
      </c>
      <c r="CV54" s="19"/>
      <c r="CW54" s="19"/>
      <c r="CX54" s="19"/>
      <c r="CY54" s="19"/>
      <c r="CZ54" s="19"/>
      <c r="DA54" s="19"/>
      <c r="DB54" s="19"/>
      <c r="DC54" s="19"/>
      <c r="DD54" s="19"/>
      <c r="DE54" s="19"/>
      <c r="DF54" s="19"/>
      <c r="DG54" s="19"/>
      <c r="DH54" s="19"/>
      <c r="DI54" s="19"/>
      <c r="DL54" s="19"/>
      <c r="DM54" s="19"/>
    </row>
    <row r="55" spans="65:137">
      <c r="BM55" t="str">
        <f t="shared" si="0"/>
        <v/>
      </c>
      <c r="CU55" s="114"/>
      <c r="DC55" s="19"/>
      <c r="DD55" s="19"/>
      <c r="DE55" s="19"/>
      <c r="DF55" s="19"/>
      <c r="DG55" s="19"/>
      <c r="DH55" s="19"/>
      <c r="DI55" s="19"/>
      <c r="DL55" s="19"/>
      <c r="DM55" s="19"/>
      <c r="DS55" s="113" t="s">
        <v>10</v>
      </c>
      <c r="DT55" s="113"/>
      <c r="DU55" s="113"/>
      <c r="DV55" s="113"/>
      <c r="DW55" s="113"/>
      <c r="DX55" s="109" t="s">
        <v>11</v>
      </c>
      <c r="DY55" s="110"/>
      <c r="DZ55" s="110"/>
      <c r="EA55" s="110"/>
      <c r="EB55" s="110"/>
      <c r="EC55" s="110"/>
      <c r="ED55" s="110"/>
      <c r="EE55" s="110"/>
      <c r="EF55" s="110"/>
    </row>
    <row r="56" spans="65:137" ht="51">
      <c r="BM56" t="str">
        <f t="shared" si="0"/>
        <v/>
      </c>
      <c r="CH56" s="1"/>
      <c r="CJ56" s="26" t="s">
        <v>12</v>
      </c>
      <c r="CK56" s="130" t="s">
        <v>13</v>
      </c>
      <c r="CL56" s="27" t="s">
        <v>14</v>
      </c>
      <c r="CM56" s="27" t="s">
        <v>15</v>
      </c>
      <c r="CN56" s="28" t="s">
        <v>16</v>
      </c>
      <c r="CO56" s="29" t="s">
        <v>57</v>
      </c>
      <c r="CP56" s="29" t="s">
        <v>58</v>
      </c>
      <c r="CQ56" s="29" t="s">
        <v>58</v>
      </c>
      <c r="CR56" s="29" t="s">
        <v>58</v>
      </c>
      <c r="CS56" s="29" t="s">
        <v>58</v>
      </c>
      <c r="CT56" s="29" t="s">
        <v>58</v>
      </c>
      <c r="CU56" s="90" t="s">
        <v>17</v>
      </c>
      <c r="CV56" s="30" t="s">
        <v>18</v>
      </c>
      <c r="CW56" s="30" t="s">
        <v>19</v>
      </c>
      <c r="CX56" s="30" t="s">
        <v>56</v>
      </c>
      <c r="CY56" s="30" t="s">
        <v>20</v>
      </c>
      <c r="CZ56" s="27" t="s">
        <v>21</v>
      </c>
      <c r="DA56" s="27" t="s">
        <v>22</v>
      </c>
      <c r="DB56" s="30" t="s">
        <v>23</v>
      </c>
      <c r="DC56" s="27" t="s">
        <v>24</v>
      </c>
      <c r="DD56" s="31" t="s">
        <v>59</v>
      </c>
      <c r="DE56" s="27" t="s">
        <v>25</v>
      </c>
      <c r="DF56" s="31" t="s">
        <v>60</v>
      </c>
      <c r="DG56" s="32" t="s">
        <v>26</v>
      </c>
      <c r="DH56" s="32" t="s">
        <v>61</v>
      </c>
      <c r="DI56" s="31" t="s">
        <v>27</v>
      </c>
      <c r="DJ56" s="33" t="s">
        <v>28</v>
      </c>
      <c r="DK56" s="34" t="s">
        <v>29</v>
      </c>
      <c r="DL56" s="27" t="s">
        <v>12</v>
      </c>
      <c r="DM56" s="29" t="s">
        <v>30</v>
      </c>
      <c r="DN56" s="29" t="s">
        <v>31</v>
      </c>
      <c r="DO56" s="29" t="s">
        <v>32</v>
      </c>
      <c r="DP56" s="29" t="s">
        <v>33</v>
      </c>
      <c r="DQ56" s="29" t="s">
        <v>34</v>
      </c>
      <c r="DR56" s="29" t="s">
        <v>35</v>
      </c>
      <c r="DS56" s="35" t="s">
        <v>36</v>
      </c>
      <c r="DT56" s="35" t="s">
        <v>65</v>
      </c>
      <c r="DU56" s="35" t="s">
        <v>37</v>
      </c>
      <c r="DV56" s="35" t="s">
        <v>66</v>
      </c>
      <c r="DW56" s="35" t="s">
        <v>38</v>
      </c>
      <c r="DX56" s="36" t="s">
        <v>36</v>
      </c>
      <c r="DY56" s="36" t="s">
        <v>67</v>
      </c>
      <c r="DZ56" s="36" t="s">
        <v>37</v>
      </c>
      <c r="EA56" s="36" t="s">
        <v>39</v>
      </c>
      <c r="EB56" s="36" t="s">
        <v>40</v>
      </c>
      <c r="EC56" s="36" t="s">
        <v>41</v>
      </c>
      <c r="ED56" s="36" t="s">
        <v>38</v>
      </c>
      <c r="EE56" s="36" t="s">
        <v>42</v>
      </c>
      <c r="EF56" s="36"/>
      <c r="EG56" s="27" t="s">
        <v>43</v>
      </c>
    </row>
    <row r="57" spans="65:137">
      <c r="BM57" t="str">
        <f t="shared" si="0"/>
        <v/>
      </c>
      <c r="CJ57" s="37">
        <v>-12</v>
      </c>
      <c r="CK57" s="131"/>
      <c r="CL57" s="38">
        <f>IF(S3="s",S4*CI67,S4*CI68)</f>
        <v>821.30000000000007</v>
      </c>
      <c r="CM57" s="39">
        <f t="shared" ref="CM57:CM88" si="1">IF($S$3="S",DW57,IF($S$3="F",ED57))</f>
        <v>8.3500181462286776</v>
      </c>
      <c r="CN57" s="40">
        <f>CL57*(CM57/(CM57+12))</f>
        <v>336.99576355260069</v>
      </c>
      <c r="CO57" s="41"/>
      <c r="CP57" s="4">
        <v>0.5</v>
      </c>
      <c r="CQ57" s="42">
        <v>0.25</v>
      </c>
      <c r="CR57" s="42">
        <v>0.15</v>
      </c>
      <c r="CS57" s="42">
        <v>0.1</v>
      </c>
      <c r="CT57" s="42">
        <v>0.05</v>
      </c>
      <c r="CU57" s="43">
        <f>CN57</f>
        <v>336.99576355260069</v>
      </c>
      <c r="CV57" s="44">
        <f>CL57-CN57</f>
        <v>484.30423644739938</v>
      </c>
      <c r="CW57" s="44">
        <f t="shared" ref="CW57:CW88" si="2">CU57/CM57</f>
        <v>40.35868637061661</v>
      </c>
      <c r="CX57" s="45">
        <f t="shared" ref="CX57:CX68" si="3">CV57/12</f>
        <v>40.358686370616617</v>
      </c>
      <c r="CY57" s="44">
        <f t="shared" ref="CY57:CY88" si="4">(CX57*$BS$44)-CX57</f>
        <v>16.143474548246644</v>
      </c>
      <c r="CZ57" s="46">
        <f t="shared" ref="CZ57:CZ88" si="5">CU57-CW57+CX57+CY57</f>
        <v>353.13923810084736</v>
      </c>
      <c r="DA57" s="46"/>
      <c r="DB57" s="44">
        <f t="shared" ref="DB57:DB88" si="6">IF(DB56&lt;2,0,CV57-CX57+CW57)</f>
        <v>484.30423644739938</v>
      </c>
      <c r="DC57" s="46">
        <f t="shared" ref="DC57:DC88" si="7">DB57-CV57</f>
        <v>0</v>
      </c>
      <c r="DD57" s="47">
        <f t="shared" ref="DD57:DD88" si="8">(CN57+CX57*12)*0.025</f>
        <v>20.532500000000002</v>
      </c>
      <c r="DE57" s="46">
        <f t="shared" ref="DE57:DE88" si="9">CZ57+DB57-DD57</f>
        <v>816.91097454824671</v>
      </c>
      <c r="DF57" s="47">
        <f>DD57</f>
        <v>20.532500000000002</v>
      </c>
      <c r="DG57" s="48"/>
      <c r="DH57" s="49">
        <f>IF($S$3="F",315*CZ57/EB57,315*CZ57/DV57)</f>
        <v>3.0899683333824144</v>
      </c>
      <c r="DI57" s="50"/>
      <c r="DJ57" s="51"/>
      <c r="DK57" s="38"/>
      <c r="DL57" s="52">
        <v>0</v>
      </c>
      <c r="DM57" s="53"/>
      <c r="DN57" s="53"/>
      <c r="DO57" s="53"/>
      <c r="DP57" s="53"/>
      <c r="DQ57" s="53"/>
      <c r="DR57" s="53"/>
      <c r="DS57" s="54">
        <v>5</v>
      </c>
      <c r="DT57" s="55">
        <f t="shared" ref="DT57:DT88" si="10">DS57*4500</f>
        <v>22500</v>
      </c>
      <c r="DU57" s="54">
        <v>20</v>
      </c>
      <c r="DV57" s="54">
        <f t="shared" ref="DV57:DV88" si="11">DU57*1800</f>
        <v>36000</v>
      </c>
      <c r="DW57" s="56">
        <f t="shared" ref="DW57:DW88" si="12">5*LN(DV57/DT57)+6</f>
        <v>8.3500181462286776</v>
      </c>
      <c r="DX57" s="57">
        <v>5</v>
      </c>
      <c r="DY57" s="58">
        <f>DT57</f>
        <v>22500</v>
      </c>
      <c r="DZ57" s="58">
        <f>DU57</f>
        <v>20</v>
      </c>
      <c r="EA57" s="58">
        <v>1800</v>
      </c>
      <c r="EB57" s="58">
        <f t="shared" ref="EB57:EB64" si="13">EA57*DZ57</f>
        <v>36000</v>
      </c>
      <c r="EC57" s="58">
        <f t="shared" ref="EC57:EC88" si="14">IF(DY57=0,NA(),EB57/DY57)</f>
        <v>1.6</v>
      </c>
      <c r="ED57" s="59">
        <f>5*LN(EB57/DY57)+7.8</f>
        <v>10.150018146228678</v>
      </c>
      <c r="EE57" s="60" t="s">
        <v>44</v>
      </c>
      <c r="EF57" s="59"/>
      <c r="EG57" s="61">
        <v>0</v>
      </c>
    </row>
    <row r="58" spans="65:137">
      <c r="BM58" t="str">
        <f t="shared" si="0"/>
        <v/>
      </c>
      <c r="CJ58" s="37">
        <f t="shared" ref="CJ58:CJ68" si="15">CJ57+1</f>
        <v>-11</v>
      </c>
      <c r="CK58" s="131"/>
      <c r="CL58" s="46">
        <f t="shared" ref="CL58:CL68" si="16">DE57</f>
        <v>816.91097454824671</v>
      </c>
      <c r="CM58" s="39">
        <f t="shared" si="1"/>
        <v>8.3500181462286776</v>
      </c>
      <c r="CN58" s="40">
        <f t="shared" ref="CN58:CN89" si="17">CZ57</f>
        <v>353.13923810084736</v>
      </c>
      <c r="CO58" s="41"/>
      <c r="CP58" s="62">
        <f t="shared" ref="CP58:CP68" si="18">CN58*CO58</f>
        <v>0</v>
      </c>
      <c r="CQ58" s="62"/>
      <c r="CR58" s="62"/>
      <c r="CS58" s="62"/>
      <c r="CT58" s="62"/>
      <c r="CU58" s="43">
        <f t="shared" ref="CU58:CU68" si="19">CN58-SUM(CP58:CR58)</f>
        <v>353.13923810084736</v>
      </c>
      <c r="CV58" s="44">
        <f t="shared" ref="CV58:CV89" si="20">DB57</f>
        <v>484.30423644739938</v>
      </c>
      <c r="CW58" s="44">
        <f t="shared" si="2"/>
        <v>42.292032414365977</v>
      </c>
      <c r="CX58" s="45">
        <f t="shared" si="3"/>
        <v>40.358686370616617</v>
      </c>
      <c r="CY58" s="44">
        <f t="shared" si="4"/>
        <v>16.143474548246644</v>
      </c>
      <c r="CZ58" s="46">
        <f t="shared" si="5"/>
        <v>367.3493666053447</v>
      </c>
      <c r="DA58" s="46">
        <f t="shared" ref="DA58:DA67" si="21">CZ58-CN58</f>
        <v>14.210128504497334</v>
      </c>
      <c r="DB58" s="44">
        <f t="shared" si="6"/>
        <v>486.23758249114871</v>
      </c>
      <c r="DC58" s="46">
        <f t="shared" si="7"/>
        <v>1.9333460437493386</v>
      </c>
      <c r="DD58" s="47">
        <f t="shared" si="8"/>
        <v>20.936086863706169</v>
      </c>
      <c r="DE58" s="46">
        <f t="shared" si="9"/>
        <v>832.65086223278729</v>
      </c>
      <c r="DF58" s="47"/>
      <c r="DG58" s="47"/>
      <c r="DH58" s="63"/>
      <c r="DI58" s="61"/>
      <c r="DJ58" s="51">
        <f t="shared" ref="DJ58:DJ89" si="22">(CL58-CL57)/CL57</f>
        <v>-5.3439978713665584E-3</v>
      </c>
      <c r="DK58" s="64"/>
      <c r="DL58" s="52">
        <v>1</v>
      </c>
      <c r="DM58" s="53"/>
      <c r="DN58" s="53"/>
      <c r="DO58" s="53"/>
      <c r="DP58" s="53"/>
      <c r="DQ58" s="53"/>
      <c r="DR58" s="53"/>
      <c r="DS58" s="54">
        <v>5</v>
      </c>
      <c r="DT58" s="55">
        <f t="shared" si="10"/>
        <v>22500</v>
      </c>
      <c r="DU58" s="54">
        <v>20</v>
      </c>
      <c r="DV58" s="54">
        <f t="shared" si="11"/>
        <v>36000</v>
      </c>
      <c r="DW58" s="56">
        <f t="shared" si="12"/>
        <v>8.3500181462286776</v>
      </c>
      <c r="DX58" s="57">
        <f t="shared" ref="DX58:DX89" si="23">DX57-0.1</f>
        <v>4.9000000000000004</v>
      </c>
      <c r="DY58" s="58">
        <f t="shared" ref="DY58:DY89" si="24">DX58*4500</f>
        <v>22050</v>
      </c>
      <c r="DZ58" s="65">
        <f t="shared" ref="DZ58:DZ104" si="25">DZ57-0.21</f>
        <v>19.79</v>
      </c>
      <c r="EA58" s="65">
        <f t="shared" ref="EA58:EA89" si="26">EA57+5</f>
        <v>1805</v>
      </c>
      <c r="EB58" s="58">
        <f t="shared" si="13"/>
        <v>35720.949999999997</v>
      </c>
      <c r="EC58" s="58">
        <f t="shared" si="14"/>
        <v>1.6199977324263037</v>
      </c>
      <c r="ED58" s="59">
        <f t="shared" ref="ED58:ED89" si="27">5*LN(EB58/DY58)+7.6</f>
        <v>10.012123747532318</v>
      </c>
      <c r="EE58" s="60" t="s">
        <v>44</v>
      </c>
      <c r="EF58" s="59"/>
      <c r="EG58" s="61">
        <v>1</v>
      </c>
    </row>
    <row r="59" spans="65:137">
      <c r="BM59" t="str">
        <f t="shared" si="0"/>
        <v/>
      </c>
      <c r="CJ59" s="37">
        <f t="shared" si="15"/>
        <v>-10</v>
      </c>
      <c r="CK59" s="131"/>
      <c r="CL59" s="46">
        <f t="shared" si="16"/>
        <v>832.65086223278729</v>
      </c>
      <c r="CM59" s="39">
        <f t="shared" si="1"/>
        <v>8.3500181462286776</v>
      </c>
      <c r="CN59" s="40">
        <f t="shared" si="17"/>
        <v>367.3493666053447</v>
      </c>
      <c r="CO59" s="41"/>
      <c r="CP59" s="62">
        <f t="shared" si="18"/>
        <v>0</v>
      </c>
      <c r="CQ59" s="66" t="str">
        <f t="shared" ref="CQ59:CQ68" si="28">IF(CO58&gt;0,CN59*CO58,"")</f>
        <v/>
      </c>
      <c r="CR59" s="66"/>
      <c r="CS59" s="66"/>
      <c r="CT59" s="66"/>
      <c r="CU59" s="43">
        <f t="shared" si="19"/>
        <v>367.3493666053447</v>
      </c>
      <c r="CV59" s="44">
        <f t="shared" si="20"/>
        <v>486.23758249114871</v>
      </c>
      <c r="CW59" s="44">
        <f t="shared" si="2"/>
        <v>43.993840512940643</v>
      </c>
      <c r="CX59" s="45">
        <f t="shared" si="3"/>
        <v>40.51979854092906</v>
      </c>
      <c r="CY59" s="44">
        <f t="shared" si="4"/>
        <v>16.207919416371617</v>
      </c>
      <c r="CZ59" s="46">
        <f t="shared" si="5"/>
        <v>380.08324404970472</v>
      </c>
      <c r="DA59" s="46">
        <f t="shared" si="21"/>
        <v>12.733877444360019</v>
      </c>
      <c r="DB59" s="44">
        <f t="shared" si="6"/>
        <v>489.71162446316032</v>
      </c>
      <c r="DC59" s="46">
        <f t="shared" si="7"/>
        <v>3.4740419720116051</v>
      </c>
      <c r="DD59" s="47">
        <f t="shared" si="8"/>
        <v>21.339673727412336</v>
      </c>
      <c r="DE59" s="46">
        <f t="shared" si="9"/>
        <v>848.4551947854527</v>
      </c>
      <c r="DF59" s="47">
        <f>DD59</f>
        <v>21.339673727412336</v>
      </c>
      <c r="DG59" s="48"/>
      <c r="DH59" s="49"/>
      <c r="DI59" s="50" t="str">
        <f>IF(CO59&gt;0,SUM(CP59:CR61)/CL59,"")</f>
        <v/>
      </c>
      <c r="DJ59" s="51">
        <f t="shared" si="22"/>
        <v>1.9267567917354476E-2</v>
      </c>
      <c r="DK59" s="67"/>
      <c r="DL59" s="52">
        <v>2</v>
      </c>
      <c r="DM59" s="68"/>
      <c r="DN59" s="53"/>
      <c r="DO59" s="53"/>
      <c r="DP59" s="53"/>
      <c r="DQ59" s="53"/>
      <c r="DR59" s="53"/>
      <c r="DS59" s="54">
        <v>5</v>
      </c>
      <c r="DT59" s="55">
        <f t="shared" si="10"/>
        <v>22500</v>
      </c>
      <c r="DU59" s="54">
        <v>20</v>
      </c>
      <c r="DV59" s="54">
        <f t="shared" si="11"/>
        <v>36000</v>
      </c>
      <c r="DW59" s="56">
        <f t="shared" si="12"/>
        <v>8.3500181462286776</v>
      </c>
      <c r="DX59" s="57">
        <f t="shared" si="23"/>
        <v>4.8000000000000007</v>
      </c>
      <c r="DY59" s="58">
        <f t="shared" si="24"/>
        <v>21600.000000000004</v>
      </c>
      <c r="DZ59" s="65">
        <f t="shared" si="25"/>
        <v>19.579999999999998</v>
      </c>
      <c r="EA59" s="65">
        <f t="shared" si="26"/>
        <v>1810</v>
      </c>
      <c r="EB59" s="58">
        <f t="shared" si="13"/>
        <v>35439.799999999996</v>
      </c>
      <c r="EC59" s="58">
        <f t="shared" si="14"/>
        <v>1.6407314814814811</v>
      </c>
      <c r="ED59" s="59">
        <f t="shared" si="27"/>
        <v>10.075710838449895</v>
      </c>
      <c r="EE59" s="60" t="s">
        <v>44</v>
      </c>
      <c r="EF59" s="59"/>
      <c r="EG59" s="61">
        <v>2</v>
      </c>
    </row>
    <row r="60" spans="65:137">
      <c r="BM60" t="str">
        <f t="shared" si="0"/>
        <v/>
      </c>
      <c r="CJ60" s="37">
        <f t="shared" si="15"/>
        <v>-9</v>
      </c>
      <c r="CK60" s="131"/>
      <c r="CL60" s="46">
        <f t="shared" si="16"/>
        <v>848.4551947854527</v>
      </c>
      <c r="CM60" s="39">
        <f t="shared" si="1"/>
        <v>8.3500181462286776</v>
      </c>
      <c r="CN60" s="40">
        <f t="shared" si="17"/>
        <v>380.08324404970472</v>
      </c>
      <c r="CO60" s="41"/>
      <c r="CP60" s="62">
        <f t="shared" si="18"/>
        <v>0</v>
      </c>
      <c r="CQ60" s="66" t="str">
        <f t="shared" si="28"/>
        <v/>
      </c>
      <c r="CR60" s="66" t="str">
        <f t="shared" ref="CR60:CR68" si="29">IF(CO58&gt;0,CN60*CO58,"")</f>
        <v/>
      </c>
      <c r="CS60" s="66"/>
      <c r="CT60" s="66"/>
      <c r="CU60" s="43">
        <f t="shared" si="19"/>
        <v>380.08324404970472</v>
      </c>
      <c r="CV60" s="44">
        <f t="shared" si="20"/>
        <v>489.71162446316032</v>
      </c>
      <c r="CW60" s="44">
        <f t="shared" si="2"/>
        <v>45.518852461580693</v>
      </c>
      <c r="CX60" s="45">
        <f t="shared" si="3"/>
        <v>40.809302038596691</v>
      </c>
      <c r="CY60" s="44">
        <f t="shared" si="4"/>
        <v>16.323720815438669</v>
      </c>
      <c r="CZ60" s="46">
        <f t="shared" si="5"/>
        <v>391.69741444215936</v>
      </c>
      <c r="DA60" s="46">
        <f t="shared" si="21"/>
        <v>11.614170392454639</v>
      </c>
      <c r="DB60" s="44">
        <f t="shared" si="6"/>
        <v>494.42117488614434</v>
      </c>
      <c r="DC60" s="46">
        <f t="shared" si="7"/>
        <v>4.709550422984023</v>
      </c>
      <c r="DD60" s="47">
        <f t="shared" si="8"/>
        <v>21.744871712821627</v>
      </c>
      <c r="DE60" s="46">
        <f t="shared" si="9"/>
        <v>864.37371761548206</v>
      </c>
      <c r="DF60" s="47"/>
      <c r="DG60" s="48"/>
      <c r="DH60" s="49"/>
      <c r="DI60" s="50" t="str">
        <f t="shared" ref="DI60:DI91" si="30">IF(CO58&gt;0,SUM(CP58:CR60)/CL58,"")</f>
        <v/>
      </c>
      <c r="DJ60" s="51">
        <f t="shared" si="22"/>
        <v>1.8980743633994986E-2</v>
      </c>
      <c r="DK60" s="67"/>
      <c r="DL60" s="52">
        <v>3</v>
      </c>
      <c r="DM60" s="68"/>
      <c r="DN60" s="53"/>
      <c r="DO60" s="53"/>
      <c r="DP60" s="53"/>
      <c r="DQ60" s="53"/>
      <c r="DR60" s="53"/>
      <c r="DS60" s="54">
        <v>5</v>
      </c>
      <c r="DT60" s="55">
        <f t="shared" si="10"/>
        <v>22500</v>
      </c>
      <c r="DU60" s="54">
        <v>20</v>
      </c>
      <c r="DV60" s="54">
        <f t="shared" si="11"/>
        <v>36000</v>
      </c>
      <c r="DW60" s="56">
        <f t="shared" si="12"/>
        <v>8.3500181462286776</v>
      </c>
      <c r="DX60" s="57">
        <f t="shared" si="23"/>
        <v>4.7000000000000011</v>
      </c>
      <c r="DY60" s="58">
        <f t="shared" si="24"/>
        <v>21150.000000000004</v>
      </c>
      <c r="DZ60" s="65">
        <f t="shared" si="25"/>
        <v>19.369999999999997</v>
      </c>
      <c r="EA60" s="65">
        <f t="shared" si="26"/>
        <v>1815</v>
      </c>
      <c r="EB60" s="58">
        <f t="shared" si="13"/>
        <v>35156.549999999996</v>
      </c>
      <c r="EC60" s="58">
        <f t="shared" si="14"/>
        <v>1.662248226950354</v>
      </c>
      <c r="ED60" s="59">
        <f t="shared" si="27"/>
        <v>10.140855198217157</v>
      </c>
      <c r="EE60" s="60" t="s">
        <v>44</v>
      </c>
      <c r="EF60" s="59"/>
      <c r="EG60" s="61">
        <v>3</v>
      </c>
    </row>
    <row r="61" spans="65:137">
      <c r="BM61" t="str">
        <f t="shared" si="0"/>
        <v/>
      </c>
      <c r="CJ61" s="37">
        <f t="shared" si="15"/>
        <v>-8</v>
      </c>
      <c r="CK61" s="131"/>
      <c r="CL61" s="46">
        <f t="shared" si="16"/>
        <v>864.37371761548206</v>
      </c>
      <c r="CM61" s="39">
        <f t="shared" si="1"/>
        <v>8.3500181462286776</v>
      </c>
      <c r="CN61" s="40">
        <f t="shared" si="17"/>
        <v>391.69741444215936</v>
      </c>
      <c r="CO61" s="41"/>
      <c r="CP61" s="62">
        <f t="shared" si="18"/>
        <v>0</v>
      </c>
      <c r="CQ61" s="66" t="str">
        <f t="shared" si="28"/>
        <v/>
      </c>
      <c r="CR61" s="66" t="str">
        <f t="shared" si="29"/>
        <v/>
      </c>
      <c r="CS61" s="66"/>
      <c r="CT61" s="66"/>
      <c r="CU61" s="43">
        <f t="shared" si="19"/>
        <v>391.69741444215936</v>
      </c>
      <c r="CV61" s="44">
        <f t="shared" si="20"/>
        <v>494.42117488614434</v>
      </c>
      <c r="CW61" s="44">
        <f t="shared" si="2"/>
        <v>46.909768048716302</v>
      </c>
      <c r="CX61" s="45">
        <f t="shared" si="3"/>
        <v>41.20176457384536</v>
      </c>
      <c r="CY61" s="44">
        <f t="shared" si="4"/>
        <v>16.480705829538138</v>
      </c>
      <c r="CZ61" s="46">
        <f t="shared" si="5"/>
        <v>402.47011679682657</v>
      </c>
      <c r="DA61" s="46">
        <f t="shared" si="21"/>
        <v>10.772702354667217</v>
      </c>
      <c r="DB61" s="44">
        <f t="shared" si="6"/>
        <v>500.12917836101531</v>
      </c>
      <c r="DC61" s="46">
        <f t="shared" si="7"/>
        <v>5.7080034748709636</v>
      </c>
      <c r="DD61" s="47">
        <f t="shared" si="8"/>
        <v>22.152964733207593</v>
      </c>
      <c r="DE61" s="46">
        <f t="shared" si="9"/>
        <v>880.44633042463431</v>
      </c>
      <c r="DF61" s="47">
        <f>DD61</f>
        <v>22.152964733207593</v>
      </c>
      <c r="DG61" s="48"/>
      <c r="DH61" s="49"/>
      <c r="DI61" s="50" t="str">
        <f t="shared" si="30"/>
        <v/>
      </c>
      <c r="DJ61" s="51">
        <f t="shared" si="22"/>
        <v>1.8761771897754305E-2</v>
      </c>
      <c r="DK61" s="67"/>
      <c r="DL61" s="52">
        <v>4</v>
      </c>
      <c r="DM61" s="68"/>
      <c r="DN61" s="53"/>
      <c r="DO61" s="53"/>
      <c r="DP61" s="53"/>
      <c r="DQ61" s="53"/>
      <c r="DR61" s="53"/>
      <c r="DS61" s="54">
        <v>5</v>
      </c>
      <c r="DT61" s="55">
        <f t="shared" si="10"/>
        <v>22500</v>
      </c>
      <c r="DU61" s="54">
        <v>20</v>
      </c>
      <c r="DV61" s="54">
        <f t="shared" si="11"/>
        <v>36000</v>
      </c>
      <c r="DW61" s="56">
        <f t="shared" si="12"/>
        <v>8.3500181462286776</v>
      </c>
      <c r="DX61" s="57">
        <f t="shared" si="23"/>
        <v>4.6000000000000014</v>
      </c>
      <c r="DY61" s="58">
        <f t="shared" si="24"/>
        <v>20700.000000000007</v>
      </c>
      <c r="DZ61" s="65">
        <f t="shared" si="25"/>
        <v>19.159999999999997</v>
      </c>
      <c r="EA61" s="65">
        <f t="shared" si="26"/>
        <v>1820</v>
      </c>
      <c r="EB61" s="58">
        <f t="shared" si="13"/>
        <v>34871.199999999997</v>
      </c>
      <c r="EC61" s="58">
        <f t="shared" si="14"/>
        <v>1.6845990338164243</v>
      </c>
      <c r="ED61" s="59">
        <f t="shared" si="27"/>
        <v>10.207637866800471</v>
      </c>
      <c r="EE61" s="60" t="s">
        <v>44</v>
      </c>
      <c r="EF61" s="59"/>
      <c r="EG61" s="61">
        <v>4</v>
      </c>
    </row>
    <row r="62" spans="65:137">
      <c r="BM62" t="str">
        <f t="shared" si="0"/>
        <v/>
      </c>
      <c r="CJ62" s="37">
        <f t="shared" si="15"/>
        <v>-7</v>
      </c>
      <c r="CK62" s="131"/>
      <c r="CL62" s="46">
        <f t="shared" si="16"/>
        <v>880.44633042463431</v>
      </c>
      <c r="CM62" s="39">
        <f t="shared" si="1"/>
        <v>8.3500181462286776</v>
      </c>
      <c r="CN62" s="40">
        <f t="shared" si="17"/>
        <v>402.47011679682657</v>
      </c>
      <c r="CO62" s="41"/>
      <c r="CP62" s="62">
        <f t="shared" si="18"/>
        <v>0</v>
      </c>
      <c r="CQ62" s="66" t="str">
        <f t="shared" si="28"/>
        <v/>
      </c>
      <c r="CR62" s="66" t="str">
        <f t="shared" si="29"/>
        <v/>
      </c>
      <c r="CS62" s="66"/>
      <c r="CT62" s="66"/>
      <c r="CU62" s="43">
        <f t="shared" si="19"/>
        <v>402.47011679682657</v>
      </c>
      <c r="CV62" s="44">
        <f t="shared" si="20"/>
        <v>500.12917836101531</v>
      </c>
      <c r="CW62" s="44">
        <f t="shared" si="2"/>
        <v>48.199909239551054</v>
      </c>
      <c r="CX62" s="45">
        <f t="shared" si="3"/>
        <v>41.677431530084611</v>
      </c>
      <c r="CY62" s="44">
        <f t="shared" si="4"/>
        <v>16.670972612033843</v>
      </c>
      <c r="CZ62" s="46">
        <f t="shared" si="5"/>
        <v>412.61861169939397</v>
      </c>
      <c r="DA62" s="46">
        <f t="shared" si="21"/>
        <v>10.148494902567393</v>
      </c>
      <c r="DB62" s="44">
        <f t="shared" si="6"/>
        <v>506.65165607048175</v>
      </c>
      <c r="DC62" s="46">
        <f t="shared" si="7"/>
        <v>6.5224777094664432</v>
      </c>
      <c r="DD62" s="47">
        <f t="shared" si="8"/>
        <v>22.564982378946048</v>
      </c>
      <c r="DE62" s="46">
        <f t="shared" si="9"/>
        <v>896.7052853909297</v>
      </c>
      <c r="DF62" s="47"/>
      <c r="DG62" s="48"/>
      <c r="DH62" s="49"/>
      <c r="DI62" s="50" t="str">
        <f t="shared" si="30"/>
        <v/>
      </c>
      <c r="DJ62" s="51">
        <f t="shared" si="22"/>
        <v>1.8594518183050739E-2</v>
      </c>
      <c r="DK62" s="67"/>
      <c r="DL62" s="52">
        <v>5</v>
      </c>
      <c r="DM62" s="53"/>
      <c r="DN62" s="53"/>
      <c r="DO62" s="53"/>
      <c r="DP62" s="53"/>
      <c r="DQ62" s="53"/>
      <c r="DR62" s="53"/>
      <c r="DS62" s="54">
        <v>5</v>
      </c>
      <c r="DT62" s="55">
        <f t="shared" si="10"/>
        <v>22500</v>
      </c>
      <c r="DU62" s="54">
        <v>20</v>
      </c>
      <c r="DV62" s="54">
        <f t="shared" si="11"/>
        <v>36000</v>
      </c>
      <c r="DW62" s="56">
        <f t="shared" si="12"/>
        <v>8.3500181462286776</v>
      </c>
      <c r="DX62" s="57">
        <f t="shared" si="23"/>
        <v>4.5000000000000018</v>
      </c>
      <c r="DY62" s="58">
        <f t="shared" si="24"/>
        <v>20250.000000000007</v>
      </c>
      <c r="DZ62" s="65">
        <f t="shared" si="25"/>
        <v>18.949999999999996</v>
      </c>
      <c r="EA62" s="65">
        <f t="shared" si="26"/>
        <v>1825</v>
      </c>
      <c r="EB62" s="58">
        <f t="shared" si="13"/>
        <v>34583.749999999993</v>
      </c>
      <c r="EC62" s="58">
        <f t="shared" si="14"/>
        <v>1.7078395061728386</v>
      </c>
      <c r="ED62" s="59">
        <f t="shared" si="27"/>
        <v>10.276145625051708</v>
      </c>
      <c r="EE62" s="60" t="s">
        <v>44</v>
      </c>
      <c r="EF62" s="59"/>
      <c r="EG62" s="61">
        <v>5</v>
      </c>
    </row>
    <row r="63" spans="65:137">
      <c r="BM63" t="str">
        <f t="shared" si="0"/>
        <v/>
      </c>
      <c r="CJ63" s="37">
        <f t="shared" si="15"/>
        <v>-6</v>
      </c>
      <c r="CK63" s="131"/>
      <c r="CL63" s="46">
        <f t="shared" si="16"/>
        <v>896.7052853909297</v>
      </c>
      <c r="CM63" s="39">
        <f t="shared" si="1"/>
        <v>8.3500181462286776</v>
      </c>
      <c r="CN63" s="40">
        <f t="shared" si="17"/>
        <v>412.61861169939397</v>
      </c>
      <c r="CO63" s="41"/>
      <c r="CP63" s="62">
        <f t="shared" si="18"/>
        <v>0</v>
      </c>
      <c r="CQ63" s="66" t="str">
        <f t="shared" si="28"/>
        <v/>
      </c>
      <c r="CR63" s="66" t="str">
        <f t="shared" si="29"/>
        <v/>
      </c>
      <c r="CS63" s="66"/>
      <c r="CT63" s="66"/>
      <c r="CU63" s="43">
        <f t="shared" si="19"/>
        <v>412.61861169939397</v>
      </c>
      <c r="CV63" s="44">
        <f t="shared" si="20"/>
        <v>506.65165607048175</v>
      </c>
      <c r="CW63" s="44">
        <f t="shared" si="2"/>
        <v>49.415295209358916</v>
      </c>
      <c r="CX63" s="45">
        <f t="shared" si="3"/>
        <v>42.220971339206812</v>
      </c>
      <c r="CY63" s="44">
        <f t="shared" si="4"/>
        <v>16.888388535682722</v>
      </c>
      <c r="CZ63" s="46">
        <f t="shared" si="5"/>
        <v>422.31267636492458</v>
      </c>
      <c r="DA63" s="46">
        <f t="shared" si="21"/>
        <v>9.6940646655306182</v>
      </c>
      <c r="DB63" s="44">
        <f t="shared" si="6"/>
        <v>513.84597994063381</v>
      </c>
      <c r="DC63" s="46">
        <f t="shared" si="7"/>
        <v>7.1943238701520613</v>
      </c>
      <c r="DD63" s="47">
        <f t="shared" si="8"/>
        <v>22.981756694246897</v>
      </c>
      <c r="DE63" s="46">
        <f t="shared" si="9"/>
        <v>913.17689961131157</v>
      </c>
      <c r="DF63" s="47">
        <f>DD63</f>
        <v>22.981756694246897</v>
      </c>
      <c r="DG63" s="48"/>
      <c r="DH63" s="49"/>
      <c r="DI63" s="50" t="str">
        <f t="shared" si="30"/>
        <v/>
      </c>
      <c r="DJ63" s="51">
        <f t="shared" si="22"/>
        <v>1.8466718986100823E-2</v>
      </c>
      <c r="DK63" s="67"/>
      <c r="DL63" s="52">
        <v>6</v>
      </c>
      <c r="DM63" s="53"/>
      <c r="DN63" s="53"/>
      <c r="DO63" s="69"/>
      <c r="DP63" s="69"/>
      <c r="DQ63" s="69"/>
      <c r="DR63" s="69"/>
      <c r="DS63" s="54">
        <v>5</v>
      </c>
      <c r="DT63" s="55">
        <f t="shared" si="10"/>
        <v>22500</v>
      </c>
      <c r="DU63" s="54">
        <v>20</v>
      </c>
      <c r="DV63" s="54">
        <f t="shared" si="11"/>
        <v>36000</v>
      </c>
      <c r="DW63" s="56">
        <f t="shared" si="12"/>
        <v>8.3500181462286776</v>
      </c>
      <c r="DX63" s="57">
        <f t="shared" si="23"/>
        <v>4.4000000000000021</v>
      </c>
      <c r="DY63" s="58">
        <f t="shared" si="24"/>
        <v>19800.000000000011</v>
      </c>
      <c r="DZ63" s="65">
        <f t="shared" si="25"/>
        <v>18.739999999999995</v>
      </c>
      <c r="EA63" s="65">
        <f t="shared" si="26"/>
        <v>1830</v>
      </c>
      <c r="EB63" s="58">
        <f t="shared" si="13"/>
        <v>34294.19999999999</v>
      </c>
      <c r="EC63" s="58">
        <f t="shared" si="14"/>
        <v>1.7320303030303015</v>
      </c>
      <c r="ED63" s="59">
        <f t="shared" si="27"/>
        <v>10.346471529815576</v>
      </c>
      <c r="EE63" s="60" t="s">
        <v>44</v>
      </c>
      <c r="EF63" s="59"/>
      <c r="EG63" s="61">
        <v>6</v>
      </c>
    </row>
    <row r="64" spans="65:137">
      <c r="BM64" t="str">
        <f t="shared" si="0"/>
        <v/>
      </c>
      <c r="CJ64" s="37">
        <f t="shared" si="15"/>
        <v>-5</v>
      </c>
      <c r="CK64" s="131"/>
      <c r="CL64" s="46">
        <f t="shared" si="16"/>
        <v>913.17689961131157</v>
      </c>
      <c r="CM64" s="39">
        <f t="shared" si="1"/>
        <v>8.3500181462286776</v>
      </c>
      <c r="CN64" s="40">
        <f t="shared" si="17"/>
        <v>422.31267636492458</v>
      </c>
      <c r="CO64" s="41"/>
      <c r="CP64" s="62">
        <f t="shared" si="18"/>
        <v>0</v>
      </c>
      <c r="CQ64" s="66" t="str">
        <f t="shared" si="28"/>
        <v/>
      </c>
      <c r="CR64" s="66" t="str">
        <f t="shared" si="29"/>
        <v/>
      </c>
      <c r="CS64" s="66"/>
      <c r="CT64" s="66"/>
      <c r="CU64" s="43">
        <f t="shared" si="19"/>
        <v>422.31267636492458</v>
      </c>
      <c r="CV64" s="44">
        <f t="shared" si="20"/>
        <v>513.84597994063381</v>
      </c>
      <c r="CW64" s="44">
        <f t="shared" si="2"/>
        <v>50.576258514559512</v>
      </c>
      <c r="CX64" s="45">
        <f t="shared" si="3"/>
        <v>42.820498328386151</v>
      </c>
      <c r="CY64" s="44">
        <f t="shared" si="4"/>
        <v>17.128199331354459</v>
      </c>
      <c r="CZ64" s="46">
        <f t="shared" si="5"/>
        <v>431.68511551010562</v>
      </c>
      <c r="DA64" s="46">
        <f t="shared" si="21"/>
        <v>9.3724391451810334</v>
      </c>
      <c r="DB64" s="44">
        <f t="shared" si="6"/>
        <v>521.60174012680716</v>
      </c>
      <c r="DC64" s="46">
        <f t="shared" si="7"/>
        <v>7.7557601861733474</v>
      </c>
      <c r="DD64" s="47">
        <f t="shared" si="8"/>
        <v>23.403966407638961</v>
      </c>
      <c r="DE64" s="46">
        <f t="shared" si="9"/>
        <v>929.88288922927381</v>
      </c>
      <c r="DF64" s="47"/>
      <c r="DG64" s="48"/>
      <c r="DH64" s="49"/>
      <c r="DI64" s="50" t="str">
        <f t="shared" si="30"/>
        <v/>
      </c>
      <c r="DJ64" s="51">
        <f t="shared" si="22"/>
        <v>1.8369038845578861E-2</v>
      </c>
      <c r="DK64" s="67"/>
      <c r="DL64" s="52">
        <v>7</v>
      </c>
      <c r="DM64" s="53"/>
      <c r="DN64" s="53"/>
      <c r="DO64" s="53"/>
      <c r="DP64" s="53"/>
      <c r="DQ64" s="53"/>
      <c r="DR64" s="53"/>
      <c r="DS64" s="54">
        <v>5</v>
      </c>
      <c r="DT64" s="55">
        <f t="shared" si="10"/>
        <v>22500</v>
      </c>
      <c r="DU64" s="54">
        <v>20</v>
      </c>
      <c r="DV64" s="54">
        <f t="shared" si="11"/>
        <v>36000</v>
      </c>
      <c r="DW64" s="56">
        <f t="shared" si="12"/>
        <v>8.3500181462286776</v>
      </c>
      <c r="DX64" s="57">
        <f t="shared" si="23"/>
        <v>4.3000000000000025</v>
      </c>
      <c r="DY64" s="58">
        <f t="shared" si="24"/>
        <v>19350.000000000011</v>
      </c>
      <c r="DZ64" s="65">
        <f t="shared" si="25"/>
        <v>18.529999999999994</v>
      </c>
      <c r="EA64" s="65">
        <f t="shared" si="26"/>
        <v>1835</v>
      </c>
      <c r="EB64" s="58">
        <f t="shared" si="13"/>
        <v>34002.549999999988</v>
      </c>
      <c r="EC64" s="58">
        <f t="shared" si="14"/>
        <v>1.7572377260981895</v>
      </c>
      <c r="ED64" s="59">
        <f t="shared" si="27"/>
        <v>10.41871551164005</v>
      </c>
      <c r="EE64" s="60" t="s">
        <v>44</v>
      </c>
      <c r="EF64" s="59"/>
      <c r="EG64" s="61">
        <v>7</v>
      </c>
    </row>
    <row r="65" spans="65:137">
      <c r="BM65" t="str">
        <f t="shared" si="0"/>
        <v/>
      </c>
      <c r="CJ65" s="37">
        <f t="shared" si="15"/>
        <v>-4</v>
      </c>
      <c r="CK65" s="132"/>
      <c r="CL65" s="46">
        <f t="shared" si="16"/>
        <v>929.88288922927381</v>
      </c>
      <c r="CM65" s="39">
        <f t="shared" si="1"/>
        <v>8.3500181462286776</v>
      </c>
      <c r="CN65" s="40">
        <f t="shared" si="17"/>
        <v>431.68511551010562</v>
      </c>
      <c r="CO65" s="41"/>
      <c r="CP65" s="62">
        <f t="shared" si="18"/>
        <v>0</v>
      </c>
      <c r="CQ65" s="66" t="str">
        <f t="shared" si="28"/>
        <v/>
      </c>
      <c r="CR65" s="66" t="str">
        <f t="shared" si="29"/>
        <v/>
      </c>
      <c r="CS65" s="66"/>
      <c r="CT65" s="66"/>
      <c r="CU65" s="43">
        <f t="shared" si="19"/>
        <v>431.68511551010562</v>
      </c>
      <c r="CV65" s="44">
        <f t="shared" si="20"/>
        <v>521.60174012680716</v>
      </c>
      <c r="CW65" s="44">
        <f t="shared" si="2"/>
        <v>51.698703877078174</v>
      </c>
      <c r="CX65" s="45">
        <f t="shared" si="3"/>
        <v>43.466811677233927</v>
      </c>
      <c r="CY65" s="44">
        <f t="shared" si="4"/>
        <v>17.386724670893564</v>
      </c>
      <c r="CZ65" s="46">
        <f t="shared" si="5"/>
        <v>440.83994798115492</v>
      </c>
      <c r="DA65" s="46">
        <f t="shared" si="21"/>
        <v>9.1548324710493034</v>
      </c>
      <c r="DB65" s="44">
        <f t="shared" si="6"/>
        <v>529.83363232665147</v>
      </c>
      <c r="DC65" s="46">
        <f t="shared" si="7"/>
        <v>8.2318921998443102</v>
      </c>
      <c r="DD65" s="47">
        <f t="shared" si="8"/>
        <v>23.832171390922824</v>
      </c>
      <c r="DE65" s="46">
        <f t="shared" si="9"/>
        <v>946.84140891688355</v>
      </c>
      <c r="DF65" s="47">
        <f>DD65</f>
        <v>23.832171390922824</v>
      </c>
      <c r="DG65" s="48"/>
      <c r="DH65" s="49"/>
      <c r="DI65" s="50" t="str">
        <f t="shared" si="30"/>
        <v/>
      </c>
      <c r="DJ65" s="51">
        <f t="shared" si="22"/>
        <v>1.8294362926912687E-2</v>
      </c>
      <c r="DK65" s="67"/>
      <c r="DL65" s="52">
        <v>8</v>
      </c>
      <c r="DM65" s="53"/>
      <c r="DN65" s="53"/>
      <c r="DO65" s="53"/>
      <c r="DP65" s="69"/>
      <c r="DQ65" s="69"/>
      <c r="DR65" s="69"/>
      <c r="DS65" s="54">
        <v>5</v>
      </c>
      <c r="DT65" s="55">
        <f t="shared" si="10"/>
        <v>22500</v>
      </c>
      <c r="DU65" s="54">
        <v>20</v>
      </c>
      <c r="DV65" s="54">
        <f t="shared" si="11"/>
        <v>36000</v>
      </c>
      <c r="DW65" s="56">
        <f t="shared" si="12"/>
        <v>8.3500181462286776</v>
      </c>
      <c r="DX65" s="57">
        <f t="shared" si="23"/>
        <v>4.2000000000000028</v>
      </c>
      <c r="DY65" s="58">
        <f t="shared" si="24"/>
        <v>18900.000000000015</v>
      </c>
      <c r="DZ65" s="65">
        <f t="shared" si="25"/>
        <v>18.319999999999993</v>
      </c>
      <c r="EA65" s="65">
        <f t="shared" si="26"/>
        <v>1840</v>
      </c>
      <c r="EB65" s="58">
        <f t="shared" ref="EB65:EB105" si="31">DZ65*EA65</f>
        <v>33708.799999999988</v>
      </c>
      <c r="EC65" s="58">
        <f t="shared" si="14"/>
        <v>1.7835343915343895</v>
      </c>
      <c r="ED65" s="59">
        <f t="shared" si="27"/>
        <v>10.492985044006403</v>
      </c>
      <c r="EE65" s="60" t="s">
        <v>44</v>
      </c>
      <c r="EF65" s="59"/>
      <c r="EG65" s="61">
        <v>8</v>
      </c>
    </row>
    <row r="66" spans="65:137">
      <c r="BM66" t="str">
        <f t="shared" ref="BM66:BM101" si="32">LEFT(BL66,3)</f>
        <v/>
      </c>
      <c r="CH66" s="123" t="s">
        <v>50</v>
      </c>
      <c r="CI66" s="124"/>
      <c r="CJ66" s="37">
        <f t="shared" si="15"/>
        <v>-3</v>
      </c>
      <c r="CK66" s="125" t="s">
        <v>51</v>
      </c>
      <c r="CL66" s="46">
        <f t="shared" si="16"/>
        <v>946.84140891688355</v>
      </c>
      <c r="CM66" s="39">
        <f t="shared" si="1"/>
        <v>8.3500181462286776</v>
      </c>
      <c r="CN66" s="40">
        <f t="shared" si="17"/>
        <v>440.83994798115492</v>
      </c>
      <c r="CO66" s="41"/>
      <c r="CP66" s="62">
        <f t="shared" si="18"/>
        <v>0</v>
      </c>
      <c r="CQ66" s="66" t="str">
        <f t="shared" si="28"/>
        <v/>
      </c>
      <c r="CR66" s="66" t="str">
        <f t="shared" si="29"/>
        <v/>
      </c>
      <c r="CS66" s="66"/>
      <c r="CT66" s="66"/>
      <c r="CU66" s="43">
        <f t="shared" si="19"/>
        <v>440.83994798115492</v>
      </c>
      <c r="CV66" s="44">
        <f t="shared" si="20"/>
        <v>529.83363232665147</v>
      </c>
      <c r="CW66" s="44">
        <f t="shared" si="2"/>
        <v>52.795088616695068</v>
      </c>
      <c r="CX66" s="45">
        <f t="shared" si="3"/>
        <v>44.152802693887622</v>
      </c>
      <c r="CY66" s="44">
        <f t="shared" si="4"/>
        <v>17.661121077555045</v>
      </c>
      <c r="CZ66" s="46">
        <f t="shared" si="5"/>
        <v>449.85878313590251</v>
      </c>
      <c r="DA66" s="46">
        <f t="shared" si="21"/>
        <v>9.0188351547475918</v>
      </c>
      <c r="DB66" s="44">
        <f t="shared" si="6"/>
        <v>538.47591824945891</v>
      </c>
      <c r="DC66" s="46">
        <f t="shared" si="7"/>
        <v>8.6422859228074458</v>
      </c>
      <c r="DD66" s="47">
        <f t="shared" si="8"/>
        <v>24.26683950769516</v>
      </c>
      <c r="DE66" s="46">
        <f t="shared" si="9"/>
        <v>964.06786187766625</v>
      </c>
      <c r="DF66" s="47"/>
      <c r="DG66" s="48"/>
      <c r="DH66" s="49"/>
      <c r="DI66" s="50" t="str">
        <f t="shared" si="30"/>
        <v/>
      </c>
      <c r="DJ66" s="51">
        <f t="shared" si="22"/>
        <v>1.8237263943705506E-2</v>
      </c>
      <c r="DK66" s="67"/>
      <c r="DL66" s="52">
        <v>9</v>
      </c>
      <c r="DM66" s="53"/>
      <c r="DN66" s="53"/>
      <c r="DO66" s="53"/>
      <c r="DP66" s="53"/>
      <c r="DQ66" s="53"/>
      <c r="DR66" s="53"/>
      <c r="DS66" s="54">
        <v>5</v>
      </c>
      <c r="DT66" s="55">
        <f t="shared" si="10"/>
        <v>22500</v>
      </c>
      <c r="DU66" s="54">
        <v>20</v>
      </c>
      <c r="DV66" s="54">
        <f t="shared" si="11"/>
        <v>36000</v>
      </c>
      <c r="DW66" s="56">
        <f t="shared" si="12"/>
        <v>8.3500181462286776</v>
      </c>
      <c r="DX66" s="57">
        <f t="shared" si="23"/>
        <v>4.1000000000000032</v>
      </c>
      <c r="DY66" s="58">
        <f t="shared" si="24"/>
        <v>18450.000000000015</v>
      </c>
      <c r="DZ66" s="65">
        <f t="shared" si="25"/>
        <v>18.109999999999992</v>
      </c>
      <c r="EA66" s="65">
        <f t="shared" si="26"/>
        <v>1845</v>
      </c>
      <c r="EB66" s="58">
        <f t="shared" si="31"/>
        <v>33412.949999999983</v>
      </c>
      <c r="EC66" s="58">
        <f t="shared" si="14"/>
        <v>1.8109999999999977</v>
      </c>
      <c r="ED66" s="59">
        <f t="shared" si="27"/>
        <v>10.569395894506375</v>
      </c>
      <c r="EE66" s="60" t="s">
        <v>44</v>
      </c>
      <c r="EF66" s="59"/>
      <c r="EG66" s="61">
        <v>9</v>
      </c>
    </row>
    <row r="67" spans="65:137">
      <c r="BM67" t="str">
        <f t="shared" si="32"/>
        <v/>
      </c>
      <c r="CH67" s="14" t="s">
        <v>10</v>
      </c>
      <c r="CI67" s="15">
        <f>0.8213</f>
        <v>0.82130000000000003</v>
      </c>
      <c r="CJ67" s="37">
        <f t="shared" si="15"/>
        <v>-2</v>
      </c>
      <c r="CK67" s="126"/>
      <c r="CL67" s="46">
        <f t="shared" si="16"/>
        <v>964.06786187766625</v>
      </c>
      <c r="CM67" s="39">
        <f t="shared" si="1"/>
        <v>8.3500181462286776</v>
      </c>
      <c r="CN67" s="40">
        <f t="shared" si="17"/>
        <v>449.85878313590251</v>
      </c>
      <c r="CO67" s="41"/>
      <c r="CP67" s="62">
        <f t="shared" si="18"/>
        <v>0</v>
      </c>
      <c r="CQ67" s="66" t="str">
        <f t="shared" si="28"/>
        <v/>
      </c>
      <c r="CR67" s="66" t="str">
        <f t="shared" si="29"/>
        <v/>
      </c>
      <c r="CS67" s="66"/>
      <c r="CT67" s="66"/>
      <c r="CU67" s="43">
        <f t="shared" si="19"/>
        <v>449.85878313590251</v>
      </c>
      <c r="CV67" s="44">
        <f t="shared" si="20"/>
        <v>538.47591824945891</v>
      </c>
      <c r="CW67" s="44">
        <f t="shared" si="2"/>
        <v>53.875186287958336</v>
      </c>
      <c r="CX67" s="45">
        <f t="shared" si="3"/>
        <v>44.87299318745491</v>
      </c>
      <c r="CY67" s="44">
        <f t="shared" si="4"/>
        <v>17.949197274981962</v>
      </c>
      <c r="CZ67" s="46">
        <f t="shared" si="5"/>
        <v>458.80578731038105</v>
      </c>
      <c r="DA67" s="46">
        <f t="shared" si="21"/>
        <v>8.9470041744785362</v>
      </c>
      <c r="DB67" s="44">
        <f t="shared" si="6"/>
        <v>547.47811134996232</v>
      </c>
      <c r="DC67" s="46">
        <f t="shared" si="7"/>
        <v>9.0021931005034048</v>
      </c>
      <c r="DD67" s="47">
        <f t="shared" si="8"/>
        <v>24.708367534634036</v>
      </c>
      <c r="DE67" s="46">
        <f t="shared" si="9"/>
        <v>981.57553112570929</v>
      </c>
      <c r="DF67" s="47">
        <f>DD67</f>
        <v>24.708367534634036</v>
      </c>
      <c r="DG67" s="48"/>
      <c r="DH67" s="49"/>
      <c r="DI67" s="50" t="str">
        <f t="shared" si="30"/>
        <v/>
      </c>
      <c r="DJ67" s="51">
        <f t="shared" si="22"/>
        <v>1.8193599053180912E-2</v>
      </c>
      <c r="DK67" s="67"/>
      <c r="DL67" s="52">
        <v>10</v>
      </c>
      <c r="DM67" s="53"/>
      <c r="DN67" s="53"/>
      <c r="DO67" s="53"/>
      <c r="DP67" s="53"/>
      <c r="DQ67" s="53"/>
      <c r="DR67" s="53"/>
      <c r="DS67" s="54">
        <v>5</v>
      </c>
      <c r="DT67" s="55">
        <f t="shared" si="10"/>
        <v>22500</v>
      </c>
      <c r="DU67" s="54">
        <v>20</v>
      </c>
      <c r="DV67" s="54">
        <f t="shared" si="11"/>
        <v>36000</v>
      </c>
      <c r="DW67" s="56">
        <f t="shared" si="12"/>
        <v>8.3500181462286776</v>
      </c>
      <c r="DX67" s="57">
        <f t="shared" si="23"/>
        <v>4.0000000000000036</v>
      </c>
      <c r="DY67" s="58">
        <f t="shared" si="24"/>
        <v>18000.000000000015</v>
      </c>
      <c r="DZ67" s="65">
        <f t="shared" si="25"/>
        <v>17.899999999999991</v>
      </c>
      <c r="EA67" s="65">
        <f t="shared" si="26"/>
        <v>1850</v>
      </c>
      <c r="EB67" s="58">
        <f t="shared" si="31"/>
        <v>33114.999999999985</v>
      </c>
      <c r="EC67" s="58">
        <f t="shared" si="14"/>
        <v>1.8397222222222198</v>
      </c>
      <c r="ED67" s="59">
        <f t="shared" si="27"/>
        <v>10.648072970203884</v>
      </c>
      <c r="EE67" s="60" t="s">
        <v>44</v>
      </c>
      <c r="EF67" s="59"/>
      <c r="EG67" s="61">
        <v>10</v>
      </c>
    </row>
    <row r="68" spans="65:137">
      <c r="BM68" t="str">
        <f t="shared" si="32"/>
        <v/>
      </c>
      <c r="CH68" s="14" t="s">
        <v>52</v>
      </c>
      <c r="CI68" s="15">
        <v>0.83620000000000005</v>
      </c>
      <c r="CJ68" s="37">
        <f t="shared" si="15"/>
        <v>-1</v>
      </c>
      <c r="CK68" s="126"/>
      <c r="CL68" s="45">
        <f t="shared" si="16"/>
        <v>981.57553112570929</v>
      </c>
      <c r="CM68" s="70">
        <f t="shared" si="1"/>
        <v>8.3500181462286776</v>
      </c>
      <c r="CN68" s="45">
        <f t="shared" si="17"/>
        <v>458.80578731038105</v>
      </c>
      <c r="CO68" s="53"/>
      <c r="CP68" s="71">
        <f t="shared" si="18"/>
        <v>0</v>
      </c>
      <c r="CQ68" s="45" t="str">
        <f t="shared" si="28"/>
        <v/>
      </c>
      <c r="CR68" s="45" t="str">
        <f t="shared" si="29"/>
        <v/>
      </c>
      <c r="CS68" s="45"/>
      <c r="CT68" s="45"/>
      <c r="CU68" s="72">
        <f t="shared" si="19"/>
        <v>458.80578731038105</v>
      </c>
      <c r="CV68" s="45">
        <f t="shared" si="20"/>
        <v>547.47811134996232</v>
      </c>
      <c r="CW68" s="45">
        <f t="shared" si="2"/>
        <v>54.946681465309474</v>
      </c>
      <c r="CX68" s="45">
        <f t="shared" si="3"/>
        <v>45.623175945830191</v>
      </c>
      <c r="CY68" s="45">
        <f t="shared" si="4"/>
        <v>18.249270378332071</v>
      </c>
      <c r="CZ68" s="45">
        <f t="shared" si="5"/>
        <v>467.73155216923385</v>
      </c>
      <c r="DA68" s="45"/>
      <c r="DB68" s="45">
        <f t="shared" si="6"/>
        <v>556.80161686944155</v>
      </c>
      <c r="DC68" s="45">
        <f t="shared" si="7"/>
        <v>9.3235055194792267</v>
      </c>
      <c r="DD68" s="73">
        <f t="shared" si="8"/>
        <v>25.157097466508585</v>
      </c>
      <c r="DE68" s="45">
        <f t="shared" si="9"/>
        <v>999.37607157216678</v>
      </c>
      <c r="DF68" s="73"/>
      <c r="DG68" s="74"/>
      <c r="DH68" s="74"/>
      <c r="DI68" s="75" t="str">
        <f t="shared" si="30"/>
        <v/>
      </c>
      <c r="DJ68" s="76">
        <f t="shared" si="22"/>
        <v>1.8160204214197371E-2</v>
      </c>
      <c r="DK68" s="77"/>
      <c r="DL68" s="37">
        <v>11</v>
      </c>
      <c r="DM68" s="53"/>
      <c r="DN68" s="53"/>
      <c r="DO68" s="53"/>
      <c r="DP68" s="53"/>
      <c r="DQ68" s="69"/>
      <c r="DR68" s="69"/>
      <c r="DS68" s="45">
        <v>5</v>
      </c>
      <c r="DT68" s="78">
        <f t="shared" si="10"/>
        <v>22500</v>
      </c>
      <c r="DU68" s="45">
        <v>20</v>
      </c>
      <c r="DV68" s="45">
        <f t="shared" si="11"/>
        <v>36000</v>
      </c>
      <c r="DW68" s="70">
        <f t="shared" si="12"/>
        <v>8.3500181462286776</v>
      </c>
      <c r="DX68" s="70">
        <f t="shared" si="23"/>
        <v>3.9000000000000035</v>
      </c>
      <c r="DY68" s="78">
        <f t="shared" si="24"/>
        <v>17550.000000000015</v>
      </c>
      <c r="DZ68" s="45">
        <f t="shared" si="25"/>
        <v>17.689999999999991</v>
      </c>
      <c r="EA68" s="45">
        <f t="shared" si="26"/>
        <v>1855</v>
      </c>
      <c r="EB68" s="78">
        <f t="shared" si="31"/>
        <v>32814.949999999983</v>
      </c>
      <c r="EC68" s="78">
        <f t="shared" si="14"/>
        <v>1.8697977207977183</v>
      </c>
      <c r="ED68" s="79">
        <f t="shared" si="27"/>
        <v>10.729151271596081</v>
      </c>
      <c r="EE68" s="80" t="s">
        <v>44</v>
      </c>
      <c r="EF68" s="79"/>
      <c r="EG68" s="68">
        <v>11</v>
      </c>
    </row>
    <row r="69" spans="65:137">
      <c r="BM69" t="str">
        <f t="shared" si="32"/>
        <v/>
      </c>
      <c r="CI69" s="16">
        <v>46280</v>
      </c>
      <c r="CJ69" s="46">
        <v>0</v>
      </c>
      <c r="CK69" s="127"/>
      <c r="CL69" s="44">
        <f>DE69</f>
        <v>1016.8757488715064</v>
      </c>
      <c r="CM69" s="39">
        <f t="shared" si="1"/>
        <v>8.3500181462286776</v>
      </c>
      <c r="CN69" s="40">
        <f t="shared" si="17"/>
        <v>467.73155216923385</v>
      </c>
      <c r="CO69" s="41"/>
      <c r="CP69" s="62">
        <f>CN69*CO69*0.5</f>
        <v>0</v>
      </c>
      <c r="CQ69" s="66" t="str">
        <f>IF(CO68&gt;0,CN69*CO68*0.3,"")</f>
        <v/>
      </c>
      <c r="CR69" s="66" t="str">
        <f>IF(CO67&gt;0,CN69*CO67*0.2,"")</f>
        <v/>
      </c>
      <c r="CS69" s="66"/>
      <c r="CT69" s="66"/>
      <c r="CU69" s="43">
        <f t="shared" ref="CU69:CU100" si="33">CN69-SUM(CP69:CT69)</f>
        <v>467.73155216923385</v>
      </c>
      <c r="CV69" s="44">
        <f t="shared" si="20"/>
        <v>556.80161686944155</v>
      </c>
      <c r="CW69" s="44">
        <f t="shared" si="2"/>
        <v>56.015633017574565</v>
      </c>
      <c r="CX69" s="81">
        <f t="shared" ref="CX69:CX100" si="34">CW57</f>
        <v>40.35868637061661</v>
      </c>
      <c r="CY69" s="44">
        <f t="shared" si="4"/>
        <v>16.143474548246637</v>
      </c>
      <c r="CZ69" s="46">
        <f t="shared" si="5"/>
        <v>468.21808007052255</v>
      </c>
      <c r="DA69" s="46">
        <f t="shared" ref="DA69:DA100" si="35">CZ69-CN69</f>
        <v>0.48652790128869583</v>
      </c>
      <c r="DB69" s="44">
        <f t="shared" si="6"/>
        <v>572.45856351639952</v>
      </c>
      <c r="DC69" s="46">
        <f t="shared" si="7"/>
        <v>15.656946646957977</v>
      </c>
      <c r="DD69" s="47">
        <f t="shared" si="8"/>
        <v>23.800894715415833</v>
      </c>
      <c r="DE69" s="46">
        <f t="shared" si="9"/>
        <v>1016.8757488715064</v>
      </c>
      <c r="DF69" s="47">
        <f>DD69</f>
        <v>23.800894715415833</v>
      </c>
      <c r="DG69" s="48"/>
      <c r="DH69" s="49">
        <f>IF($S$3="F",315*CZ69/EB69,315*CZ69/DV69)</f>
        <v>4.0969082006170723</v>
      </c>
      <c r="DI69" s="50" t="str">
        <f t="shared" si="30"/>
        <v/>
      </c>
      <c r="DJ69" s="51">
        <f>(CL69-CL68)/CL68</f>
        <v>3.5962813483454953E-2</v>
      </c>
      <c r="DK69" s="38">
        <f>DE69</f>
        <v>1016.8757488715064</v>
      </c>
      <c r="DL69" s="52">
        <v>12</v>
      </c>
      <c r="DM69" s="41"/>
      <c r="DN69" s="82"/>
      <c r="DO69" s="41"/>
      <c r="DP69" s="82"/>
      <c r="DQ69" s="41"/>
      <c r="DR69" s="66"/>
      <c r="DS69" s="54">
        <v>5</v>
      </c>
      <c r="DT69" s="55">
        <f t="shared" si="10"/>
        <v>22500</v>
      </c>
      <c r="DU69" s="54">
        <v>20</v>
      </c>
      <c r="DV69" s="54">
        <f t="shared" si="11"/>
        <v>36000</v>
      </c>
      <c r="DW69" s="56">
        <f t="shared" si="12"/>
        <v>8.3500181462286776</v>
      </c>
      <c r="DX69" s="57">
        <f t="shared" si="23"/>
        <v>3.8000000000000034</v>
      </c>
      <c r="DY69" s="58">
        <f t="shared" si="24"/>
        <v>17100.000000000015</v>
      </c>
      <c r="DZ69" s="65">
        <f t="shared" si="25"/>
        <v>17.47999999999999</v>
      </c>
      <c r="EA69" s="65">
        <f t="shared" si="26"/>
        <v>1860</v>
      </c>
      <c r="EB69" s="58">
        <f t="shared" si="31"/>
        <v>32512.799999999981</v>
      </c>
      <c r="EC69" s="58">
        <f t="shared" si="14"/>
        <v>1.9013333333333307</v>
      </c>
      <c r="ED69" s="57">
        <f t="shared" si="27"/>
        <v>10.812776972219417</v>
      </c>
      <c r="EE69" s="60" t="s">
        <v>44</v>
      </c>
      <c r="EF69" s="57"/>
      <c r="EG69" s="83">
        <v>46280</v>
      </c>
    </row>
    <row r="70" spans="65:137" ht="15">
      <c r="BM70" t="str">
        <f t="shared" si="32"/>
        <v/>
      </c>
      <c r="CI70" s="16">
        <v>46281</v>
      </c>
      <c r="CJ70" s="46">
        <v>1</v>
      </c>
      <c r="CK70" s="84">
        <f>D39</f>
        <v>0</v>
      </c>
      <c r="CL70" s="46">
        <f>DE70</f>
        <v>1033.2003948265956</v>
      </c>
      <c r="CM70" s="39">
        <f t="shared" si="1"/>
        <v>8.3500181462286776</v>
      </c>
      <c r="CN70" s="40">
        <f t="shared" si="17"/>
        <v>468.21808007052255</v>
      </c>
      <c r="CO70" s="4">
        <f t="shared" ref="CO70:CO101" si="36">IF($S$6="",0,IF($S$6="C",CK70*$S$5,IF($S$6=4,DM70,IF($S$6=5,DN70,IF($S$6=7,DO70,IF($S$6=10,DP70,IF($S$6=14,DQ70,"")))))))</f>
        <v>0</v>
      </c>
      <c r="CP70" s="62">
        <f t="shared" ref="CP70:CP101" si="37">CN70*CO70*CP$57</f>
        <v>0</v>
      </c>
      <c r="CQ70" s="66" t="str">
        <f t="shared" ref="CQ70:CQ101" si="38">IF(CO69&gt;0,CN70*CO69*CQ$57,"")</f>
        <v/>
      </c>
      <c r="CR70" s="66" t="str">
        <f t="shared" ref="CR70:CR101" si="39">IF(CO68&gt;0,CN70*CO68*CR$57,"")</f>
        <v/>
      </c>
      <c r="CS70" s="66" t="str">
        <f>IF(CO67&gt;0,CN67*CS$57,"")</f>
        <v/>
      </c>
      <c r="CT70" s="66" t="str">
        <f>IF(CO66&gt;0,CN66*CT$57,"")</f>
        <v/>
      </c>
      <c r="CU70" s="43">
        <f t="shared" si="33"/>
        <v>468.21808007052255</v>
      </c>
      <c r="CV70" s="44">
        <f t="shared" si="20"/>
        <v>572.45856351639952</v>
      </c>
      <c r="CW70" s="44">
        <f t="shared" si="2"/>
        <v>56.073899705474929</v>
      </c>
      <c r="CX70" s="44">
        <f t="shared" si="34"/>
        <v>42.292032414365977</v>
      </c>
      <c r="CY70" s="44">
        <f t="shared" si="4"/>
        <v>16.916812965746388</v>
      </c>
      <c r="CZ70" s="46">
        <f t="shared" si="5"/>
        <v>471.35302574515998</v>
      </c>
      <c r="DA70" s="46">
        <f t="shared" si="35"/>
        <v>3.1349456746374358</v>
      </c>
      <c r="DB70" s="44">
        <f t="shared" si="6"/>
        <v>586.24043080750846</v>
      </c>
      <c r="DC70" s="46">
        <f t="shared" si="7"/>
        <v>13.781867291108938</v>
      </c>
      <c r="DD70" s="47">
        <f t="shared" si="8"/>
        <v>24.393061726072858</v>
      </c>
      <c r="DE70" s="46">
        <f t="shared" si="9"/>
        <v>1033.2003948265956</v>
      </c>
      <c r="DF70" s="47"/>
      <c r="DG70" s="48"/>
      <c r="DH70" s="49"/>
      <c r="DI70" s="50" t="str">
        <f t="shared" si="30"/>
        <v/>
      </c>
      <c r="DJ70" s="51">
        <f>(CL70-CL69)/CL69</f>
        <v>1.6053727284976272E-2</v>
      </c>
      <c r="DK70" s="67"/>
      <c r="DL70" s="52">
        <v>13</v>
      </c>
      <c r="DM70" s="4">
        <f>$S$5</f>
        <v>0</v>
      </c>
      <c r="DN70" s="4">
        <f>$S$5</f>
        <v>0</v>
      </c>
      <c r="DO70" s="4">
        <f>$S$5</f>
        <v>0</v>
      </c>
      <c r="DP70" s="4">
        <f>$S$5</f>
        <v>0</v>
      </c>
      <c r="DQ70" s="4">
        <f>$S$5</f>
        <v>0</v>
      </c>
      <c r="DR70" s="18" t="e">
        <f t="shared" ref="DR70:DR101" si="40">IF(CO70=0,NA(),1)</f>
        <v>#N/A</v>
      </c>
      <c r="DS70" s="54">
        <v>5</v>
      </c>
      <c r="DT70" s="55">
        <f t="shared" si="10"/>
        <v>22500</v>
      </c>
      <c r="DU70" s="54">
        <v>20</v>
      </c>
      <c r="DV70" s="54">
        <f t="shared" si="11"/>
        <v>36000</v>
      </c>
      <c r="DW70" s="56">
        <f t="shared" si="12"/>
        <v>8.3500181462286776</v>
      </c>
      <c r="DX70" s="57">
        <f t="shared" si="23"/>
        <v>3.7000000000000033</v>
      </c>
      <c r="DY70" s="58">
        <f t="shared" si="24"/>
        <v>16650.000000000015</v>
      </c>
      <c r="DZ70" s="65">
        <f t="shared" si="25"/>
        <v>17.269999999999989</v>
      </c>
      <c r="EA70" s="65">
        <f t="shared" si="26"/>
        <v>1865</v>
      </c>
      <c r="EB70" s="58">
        <f t="shared" si="31"/>
        <v>32208.549999999981</v>
      </c>
      <c r="EC70" s="58">
        <f t="shared" si="14"/>
        <v>1.9344474474474447</v>
      </c>
      <c r="ED70" s="57">
        <f t="shared" si="27"/>
        <v>10.899108644139559</v>
      </c>
      <c r="EE70" s="60" t="s">
        <v>44</v>
      </c>
      <c r="EF70" s="57"/>
      <c r="EG70" s="83">
        <v>46281</v>
      </c>
    </row>
    <row r="71" spans="65:137" ht="15">
      <c r="BM71" t="str">
        <f t="shared" si="32"/>
        <v/>
      </c>
      <c r="CI71" s="16">
        <v>46282</v>
      </c>
      <c r="CJ71" s="46">
        <v>2</v>
      </c>
      <c r="CK71" s="84">
        <f>E39</f>
        <v>0</v>
      </c>
      <c r="CL71" s="46">
        <f t="shared" ref="CL71:CL129" si="41">DE71</f>
        <v>1050.2090149603334</v>
      </c>
      <c r="CM71" s="39">
        <f t="shared" si="1"/>
        <v>8.3500181462286776</v>
      </c>
      <c r="CN71" s="40">
        <f t="shared" si="17"/>
        <v>471.35302574515998</v>
      </c>
      <c r="CO71" s="4">
        <f t="shared" si="36"/>
        <v>0</v>
      </c>
      <c r="CP71" s="62">
        <f t="shared" si="37"/>
        <v>0</v>
      </c>
      <c r="CQ71" s="66" t="str">
        <f t="shared" si="38"/>
        <v/>
      </c>
      <c r="CR71" s="66" t="str">
        <f t="shared" si="39"/>
        <v/>
      </c>
      <c r="CS71" s="66" t="str">
        <f>IF(CO68&gt;0,CN68*CS$57,"")</f>
        <v/>
      </c>
      <c r="CT71" s="66" t="str">
        <f>IF(CO67&gt;0,CN67*CT$57,"")</f>
        <v/>
      </c>
      <c r="CU71" s="43">
        <f t="shared" si="33"/>
        <v>471.35302574515998</v>
      </c>
      <c r="CV71" s="44">
        <f t="shared" si="20"/>
        <v>586.24043080750846</v>
      </c>
      <c r="CW71" s="44">
        <f t="shared" si="2"/>
        <v>56.449341485329427</v>
      </c>
      <c r="CX71" s="44">
        <f t="shared" si="34"/>
        <v>43.993840512940643</v>
      </c>
      <c r="CY71" s="44">
        <f t="shared" si="4"/>
        <v>17.597536205176254</v>
      </c>
      <c r="CZ71" s="46">
        <f t="shared" si="5"/>
        <v>476.4950609779475</v>
      </c>
      <c r="DA71" s="46">
        <f t="shared" si="35"/>
        <v>5.1420352327875207</v>
      </c>
      <c r="DB71" s="44">
        <f t="shared" si="6"/>
        <v>598.69593177989725</v>
      </c>
      <c r="DC71" s="46">
        <f t="shared" si="7"/>
        <v>12.455500972388791</v>
      </c>
      <c r="DD71" s="47">
        <f t="shared" si="8"/>
        <v>24.981977797511195</v>
      </c>
      <c r="DE71" s="46">
        <f t="shared" si="9"/>
        <v>1050.2090149603334</v>
      </c>
      <c r="DF71" s="47">
        <f>DD71</f>
        <v>24.981977797511195</v>
      </c>
      <c r="DG71" s="48" t="e">
        <f>IF(CO70&gt;0,CP70+CQ71+CL70*0.025,NA())</f>
        <v>#N/A</v>
      </c>
      <c r="DH71" s="49"/>
      <c r="DI71" s="50" t="str">
        <f>IF(CO69&gt;0,SUM(CP69:CR71)/CL69,"")</f>
        <v/>
      </c>
      <c r="DJ71" s="51">
        <f>(CL71-CL70)/CL70</f>
        <v>1.6462072816563766E-2</v>
      </c>
      <c r="DK71" s="67"/>
      <c r="DL71" s="52">
        <v>14</v>
      </c>
      <c r="DM71" s="4"/>
      <c r="DN71" s="4"/>
      <c r="DO71" s="4"/>
      <c r="DP71" s="4"/>
      <c r="DQ71" s="4"/>
      <c r="DR71" s="18" t="e">
        <f t="shared" si="40"/>
        <v>#N/A</v>
      </c>
      <c r="DS71" s="54">
        <v>5</v>
      </c>
      <c r="DT71" s="55">
        <f t="shared" si="10"/>
        <v>22500</v>
      </c>
      <c r="DU71" s="54">
        <v>20</v>
      </c>
      <c r="DV71" s="54">
        <f t="shared" si="11"/>
        <v>36000</v>
      </c>
      <c r="DW71" s="56">
        <f t="shared" si="12"/>
        <v>8.3500181462286776</v>
      </c>
      <c r="DX71" s="57">
        <f t="shared" si="23"/>
        <v>3.6000000000000032</v>
      </c>
      <c r="DY71" s="58">
        <f t="shared" si="24"/>
        <v>16200.000000000015</v>
      </c>
      <c r="DZ71" s="65">
        <f t="shared" si="25"/>
        <v>17.059999999999988</v>
      </c>
      <c r="EA71" s="65">
        <f t="shared" si="26"/>
        <v>1870</v>
      </c>
      <c r="EB71" s="58">
        <f t="shared" si="31"/>
        <v>31902.199999999979</v>
      </c>
      <c r="EC71" s="58">
        <f t="shared" si="14"/>
        <v>1.9692716049382686</v>
      </c>
      <c r="ED71" s="57">
        <f t="shared" si="27"/>
        <v>10.988318653458442</v>
      </c>
      <c r="EE71" s="60" t="s">
        <v>44</v>
      </c>
      <c r="EF71" s="57"/>
      <c r="EG71" s="83">
        <v>46282</v>
      </c>
    </row>
    <row r="72" spans="65:137" ht="15">
      <c r="BM72" t="str">
        <f t="shared" si="32"/>
        <v/>
      </c>
      <c r="CI72" s="16">
        <v>46283</v>
      </c>
      <c r="CJ72" s="46">
        <v>3</v>
      </c>
      <c r="CK72" s="84">
        <f>F39</f>
        <v>0</v>
      </c>
      <c r="CL72" s="46">
        <f t="shared" si="41"/>
        <v>1067.830501479554</v>
      </c>
      <c r="CM72" s="39">
        <f t="shared" si="1"/>
        <v>8.3500181462286776</v>
      </c>
      <c r="CN72" s="40">
        <f t="shared" si="17"/>
        <v>476.4950609779475</v>
      </c>
      <c r="CO72" s="4">
        <f t="shared" si="36"/>
        <v>0</v>
      </c>
      <c r="CP72" s="62">
        <f t="shared" si="37"/>
        <v>0</v>
      </c>
      <c r="CQ72" s="66" t="str">
        <f t="shared" si="38"/>
        <v/>
      </c>
      <c r="CR72" s="66" t="str">
        <f t="shared" si="39"/>
        <v/>
      </c>
      <c r="CS72" s="66" t="str">
        <f>IF(CO69&gt;0,CN69*CS$57,"")</f>
        <v/>
      </c>
      <c r="CT72" s="66" t="str">
        <f>IF(CO68&gt;0,CN68*CT$57,"")</f>
        <v/>
      </c>
      <c r="CU72" s="43">
        <f t="shared" si="33"/>
        <v>476.4950609779475</v>
      </c>
      <c r="CV72" s="44">
        <f t="shared" si="20"/>
        <v>598.69593177989725</v>
      </c>
      <c r="CW72" s="44">
        <f t="shared" si="2"/>
        <v>57.065152749776786</v>
      </c>
      <c r="CX72" s="44">
        <f t="shared" si="34"/>
        <v>45.518852461580693</v>
      </c>
      <c r="CY72" s="44">
        <f t="shared" si="4"/>
        <v>18.207540984632274</v>
      </c>
      <c r="CZ72" s="46">
        <f t="shared" si="5"/>
        <v>483.15630167438366</v>
      </c>
      <c r="DA72" s="46">
        <f t="shared" si="35"/>
        <v>6.6612406964361526</v>
      </c>
      <c r="DB72" s="44">
        <f t="shared" si="6"/>
        <v>610.24223206809336</v>
      </c>
      <c r="DC72" s="46">
        <f t="shared" si="7"/>
        <v>11.546300288196107</v>
      </c>
      <c r="DD72" s="47">
        <f t="shared" si="8"/>
        <v>25.568032262922898</v>
      </c>
      <c r="DE72" s="46">
        <f t="shared" si="9"/>
        <v>1067.830501479554</v>
      </c>
      <c r="DF72" s="47"/>
      <c r="DG72" s="48" t="e">
        <f t="shared" ref="DG72:DG102" si="42">IF(CO71&gt;0,CP71+CQ72+CL71*0.025,NA())</f>
        <v>#N/A</v>
      </c>
      <c r="DH72" s="49"/>
      <c r="DI72" s="50" t="str">
        <f>IF(CO70&gt;0,SUM(CP70:CR72)/CL70,"")</f>
        <v/>
      </c>
      <c r="DJ72" s="51">
        <f t="shared" si="22"/>
        <v>1.6779028048893765E-2</v>
      </c>
      <c r="DK72" s="38"/>
      <c r="DL72" s="52">
        <v>15</v>
      </c>
      <c r="DM72" s="4"/>
      <c r="DN72" s="4"/>
      <c r="DO72" s="4"/>
      <c r="DP72" s="4"/>
      <c r="DQ72" s="4"/>
      <c r="DR72" s="18" t="e">
        <f t="shared" si="40"/>
        <v>#N/A</v>
      </c>
      <c r="DS72" s="54">
        <v>5</v>
      </c>
      <c r="DT72" s="55">
        <f t="shared" si="10"/>
        <v>22500</v>
      </c>
      <c r="DU72" s="54">
        <v>20</v>
      </c>
      <c r="DV72" s="54">
        <f t="shared" si="11"/>
        <v>36000</v>
      </c>
      <c r="DW72" s="56">
        <f t="shared" si="12"/>
        <v>8.3500181462286776</v>
      </c>
      <c r="DX72" s="57">
        <f t="shared" si="23"/>
        <v>3.5000000000000031</v>
      </c>
      <c r="DY72" s="58">
        <f t="shared" si="24"/>
        <v>15750.000000000015</v>
      </c>
      <c r="DZ72" s="65">
        <f t="shared" si="25"/>
        <v>16.849999999999987</v>
      </c>
      <c r="EA72" s="65">
        <f t="shared" si="26"/>
        <v>1875</v>
      </c>
      <c r="EB72" s="58">
        <f t="shared" si="31"/>
        <v>31593.749999999975</v>
      </c>
      <c r="EC72" s="58">
        <f t="shared" si="14"/>
        <v>2.0059523809523774</v>
      </c>
      <c r="ED72" s="57">
        <f t="shared" si="27"/>
        <v>11.080594754745505</v>
      </c>
      <c r="EE72" s="60" t="s">
        <v>44</v>
      </c>
      <c r="EF72" s="57"/>
      <c r="EG72" s="83">
        <v>46283</v>
      </c>
    </row>
    <row r="73" spans="65:137" ht="15">
      <c r="BM73" t="str">
        <f t="shared" si="32"/>
        <v/>
      </c>
      <c r="CI73" s="16">
        <v>46284</v>
      </c>
      <c r="CJ73" s="46">
        <v>4</v>
      </c>
      <c r="CK73" s="84">
        <f>G39</f>
        <v>0</v>
      </c>
      <c r="CL73" s="46">
        <f t="shared" si="41"/>
        <v>1086.010603005489</v>
      </c>
      <c r="CM73" s="39">
        <f t="shared" si="1"/>
        <v>8.3500181462286776</v>
      </c>
      <c r="CN73" s="40">
        <f t="shared" si="17"/>
        <v>483.15630167438366</v>
      </c>
      <c r="CO73" s="4">
        <f t="shared" si="36"/>
        <v>0</v>
      </c>
      <c r="CP73" s="62">
        <f t="shared" si="37"/>
        <v>0</v>
      </c>
      <c r="CQ73" s="66" t="str">
        <f t="shared" si="38"/>
        <v/>
      </c>
      <c r="CR73" s="66" t="str">
        <f t="shared" si="39"/>
        <v/>
      </c>
      <c r="CS73" s="66" t="str">
        <f t="shared" ref="CS73:CS104" si="43">IF(CO70&gt;0,CN70*CO70*CS$57,"")</f>
        <v/>
      </c>
      <c r="CT73" s="66" t="str">
        <f>IF(CO69&gt;0,CN69*CT$57,"")</f>
        <v/>
      </c>
      <c r="CU73" s="43">
        <f t="shared" si="33"/>
        <v>483.15630167438366</v>
      </c>
      <c r="CV73" s="44">
        <f t="shared" si="20"/>
        <v>610.24223206809336</v>
      </c>
      <c r="CW73" s="44">
        <f t="shared" si="2"/>
        <v>57.86290439292079</v>
      </c>
      <c r="CX73" s="44">
        <f t="shared" si="34"/>
        <v>46.909768048716302</v>
      </c>
      <c r="CY73" s="44">
        <f t="shared" si="4"/>
        <v>18.763907219486512</v>
      </c>
      <c r="CZ73" s="46">
        <f t="shared" si="5"/>
        <v>490.96707254966572</v>
      </c>
      <c r="DA73" s="46">
        <f t="shared" si="35"/>
        <v>7.8107708752820599</v>
      </c>
      <c r="DB73" s="44">
        <f t="shared" si="6"/>
        <v>621.19536841229785</v>
      </c>
      <c r="DC73" s="46">
        <f t="shared" si="7"/>
        <v>10.953136344204495</v>
      </c>
      <c r="DD73" s="47">
        <f t="shared" si="8"/>
        <v>26.151837956474481</v>
      </c>
      <c r="DE73" s="46">
        <f t="shared" si="9"/>
        <v>1086.010603005489</v>
      </c>
      <c r="DF73" s="47">
        <f>DD73</f>
        <v>26.151837956474481</v>
      </c>
      <c r="DG73" s="48" t="e">
        <f t="shared" si="42"/>
        <v>#N/A</v>
      </c>
      <c r="DH73" s="49"/>
      <c r="DI73" s="50" t="str">
        <f t="shared" si="30"/>
        <v/>
      </c>
      <c r="DJ73" s="51">
        <f t="shared" si="22"/>
        <v>1.7025268992359004E-2</v>
      </c>
      <c r="DK73" s="67"/>
      <c r="DL73" s="52">
        <v>16</v>
      </c>
      <c r="DM73" s="4"/>
      <c r="DN73" s="4"/>
      <c r="DO73" s="4"/>
      <c r="DP73" s="4"/>
      <c r="DQ73" s="4"/>
      <c r="DR73" s="18" t="e">
        <f t="shared" si="40"/>
        <v>#N/A</v>
      </c>
      <c r="DS73" s="54">
        <v>5</v>
      </c>
      <c r="DT73" s="55">
        <f t="shared" si="10"/>
        <v>22500</v>
      </c>
      <c r="DU73" s="54">
        <v>20</v>
      </c>
      <c r="DV73" s="54">
        <f t="shared" si="11"/>
        <v>36000</v>
      </c>
      <c r="DW73" s="56">
        <f t="shared" si="12"/>
        <v>8.3500181462286776</v>
      </c>
      <c r="DX73" s="57">
        <f t="shared" si="23"/>
        <v>3.400000000000003</v>
      </c>
      <c r="DY73" s="58">
        <f t="shared" si="24"/>
        <v>15300.000000000013</v>
      </c>
      <c r="DZ73" s="65">
        <f t="shared" si="25"/>
        <v>16.639999999999986</v>
      </c>
      <c r="EA73" s="65">
        <f t="shared" si="26"/>
        <v>1880</v>
      </c>
      <c r="EB73" s="58">
        <f t="shared" si="31"/>
        <v>31283.199999999975</v>
      </c>
      <c r="EC73" s="58">
        <f t="shared" si="14"/>
        <v>2.0446535947712383</v>
      </c>
      <c r="ED73" s="57">
        <f t="shared" si="27"/>
        <v>11.176141919182644</v>
      </c>
      <c r="EE73" s="60" t="s">
        <v>44</v>
      </c>
      <c r="EF73" s="57"/>
      <c r="EG73" s="83">
        <v>46284</v>
      </c>
    </row>
    <row r="74" spans="65:137" ht="15">
      <c r="BM74" t="str">
        <f t="shared" si="32"/>
        <v/>
      </c>
      <c r="CI74" s="16">
        <v>46285</v>
      </c>
      <c r="CJ74" s="46">
        <v>5</v>
      </c>
      <c r="CK74" s="84">
        <f>H39</f>
        <v>0</v>
      </c>
      <c r="CL74" s="46">
        <f t="shared" si="41"/>
        <v>1104.7082550721771</v>
      </c>
      <c r="CM74" s="39">
        <f t="shared" si="1"/>
        <v>8.3500181462286776</v>
      </c>
      <c r="CN74" s="40">
        <f t="shared" si="17"/>
        <v>490.96707254966572</v>
      </c>
      <c r="CO74" s="4">
        <f t="shared" si="36"/>
        <v>0</v>
      </c>
      <c r="CP74" s="62">
        <f t="shared" si="37"/>
        <v>0</v>
      </c>
      <c r="CQ74" s="66" t="str">
        <f t="shared" si="38"/>
        <v/>
      </c>
      <c r="CR74" s="66" t="str">
        <f t="shared" si="39"/>
        <v/>
      </c>
      <c r="CS74" s="66" t="str">
        <f t="shared" si="43"/>
        <v/>
      </c>
      <c r="CT74" s="66" t="str">
        <f t="shared" ref="CT74:CT105" si="44">IF(CO70&gt;0,CN70*CO70*CT$57,"")</f>
        <v/>
      </c>
      <c r="CU74" s="43">
        <f t="shared" si="33"/>
        <v>490.96707254966572</v>
      </c>
      <c r="CV74" s="44">
        <f t="shared" si="20"/>
        <v>621.19536841229785</v>
      </c>
      <c r="CW74" s="44">
        <f t="shared" si="2"/>
        <v>58.79832402177631</v>
      </c>
      <c r="CX74" s="44">
        <f t="shared" si="34"/>
        <v>48.199909239551054</v>
      </c>
      <c r="CY74" s="44">
        <f t="shared" si="4"/>
        <v>19.27996369582042</v>
      </c>
      <c r="CZ74" s="46">
        <f t="shared" si="5"/>
        <v>499.64862146326089</v>
      </c>
      <c r="DA74" s="46">
        <f t="shared" si="35"/>
        <v>8.6815489135951793</v>
      </c>
      <c r="DB74" s="44">
        <f t="shared" si="6"/>
        <v>631.79378319452314</v>
      </c>
      <c r="DC74" s="46">
        <f t="shared" si="7"/>
        <v>10.598414782225291</v>
      </c>
      <c r="DD74" s="47">
        <f t="shared" si="8"/>
        <v>26.734149585606957</v>
      </c>
      <c r="DE74" s="46">
        <f t="shared" si="9"/>
        <v>1104.7082550721771</v>
      </c>
      <c r="DF74" s="47"/>
      <c r="DG74" s="48" t="e">
        <f t="shared" si="42"/>
        <v>#N/A</v>
      </c>
      <c r="DH74" s="49"/>
      <c r="DI74" s="50" t="str">
        <f t="shared" si="30"/>
        <v/>
      </c>
      <c r="DJ74" s="51">
        <f t="shared" si="22"/>
        <v>1.7216822759320311E-2</v>
      </c>
      <c r="DK74" s="67"/>
      <c r="DL74" s="52">
        <v>17</v>
      </c>
      <c r="DM74" s="4">
        <f>$S$5</f>
        <v>0</v>
      </c>
      <c r="DN74" s="4"/>
      <c r="DO74" s="4"/>
      <c r="DP74" s="4"/>
      <c r="DQ74" s="85"/>
      <c r="DR74" s="18" t="e">
        <f t="shared" si="40"/>
        <v>#N/A</v>
      </c>
      <c r="DS74" s="54">
        <v>5</v>
      </c>
      <c r="DT74" s="55">
        <f t="shared" si="10"/>
        <v>22500</v>
      </c>
      <c r="DU74" s="54">
        <v>20</v>
      </c>
      <c r="DV74" s="54">
        <f t="shared" si="11"/>
        <v>36000</v>
      </c>
      <c r="DW74" s="56">
        <f t="shared" si="12"/>
        <v>8.3500181462286776</v>
      </c>
      <c r="DX74" s="57">
        <f t="shared" si="23"/>
        <v>3.3000000000000029</v>
      </c>
      <c r="DY74" s="58">
        <f t="shared" si="24"/>
        <v>14850.000000000013</v>
      </c>
      <c r="DZ74" s="65">
        <f t="shared" si="25"/>
        <v>16.429999999999986</v>
      </c>
      <c r="EA74" s="65">
        <f t="shared" si="26"/>
        <v>1885</v>
      </c>
      <c r="EB74" s="58">
        <f t="shared" si="31"/>
        <v>30970.549999999974</v>
      </c>
      <c r="EC74" s="58">
        <f t="shared" si="14"/>
        <v>2.0855589225589188</v>
      </c>
      <c r="ED74" s="57">
        <f t="shared" si="27"/>
        <v>11.275184438502201</v>
      </c>
      <c r="EE74" s="60" t="s">
        <v>44</v>
      </c>
      <c r="EF74" s="57"/>
      <c r="EG74" s="83">
        <v>46285</v>
      </c>
    </row>
    <row r="75" spans="65:137" ht="15">
      <c r="BM75" t="str">
        <f t="shared" si="32"/>
        <v/>
      </c>
      <c r="CI75" s="16">
        <v>46286</v>
      </c>
      <c r="CJ75" s="46">
        <v>6</v>
      </c>
      <c r="CK75" s="84">
        <f>I39</f>
        <v>0</v>
      </c>
      <c r="CL75" s="46">
        <f t="shared" si="41"/>
        <v>1123.8927186421386</v>
      </c>
      <c r="CM75" s="39">
        <f t="shared" si="1"/>
        <v>8.3500181462286776</v>
      </c>
      <c r="CN75" s="40">
        <f t="shared" si="17"/>
        <v>499.64862146326089</v>
      </c>
      <c r="CO75" s="4">
        <f t="shared" si="36"/>
        <v>0</v>
      </c>
      <c r="CP75" s="62">
        <f t="shared" si="37"/>
        <v>0</v>
      </c>
      <c r="CQ75" s="66" t="str">
        <f t="shared" si="38"/>
        <v/>
      </c>
      <c r="CR75" s="66" t="str">
        <f t="shared" si="39"/>
        <v/>
      </c>
      <c r="CS75" s="66" t="str">
        <f t="shared" si="43"/>
        <v/>
      </c>
      <c r="CT75" s="66" t="str">
        <f t="shared" si="44"/>
        <v/>
      </c>
      <c r="CU75" s="43">
        <f t="shared" si="33"/>
        <v>499.64862146326089</v>
      </c>
      <c r="CV75" s="44">
        <f t="shared" si="20"/>
        <v>631.79378319452314</v>
      </c>
      <c r="CW75" s="44">
        <f t="shared" si="2"/>
        <v>59.838028219008052</v>
      </c>
      <c r="CX75" s="44">
        <f t="shared" si="34"/>
        <v>49.415295209358916</v>
      </c>
      <c r="CY75" s="44">
        <f t="shared" si="4"/>
        <v>19.766118083743564</v>
      </c>
      <c r="CZ75" s="46">
        <f t="shared" si="5"/>
        <v>508.99200653735534</v>
      </c>
      <c r="DA75" s="46">
        <f t="shared" si="35"/>
        <v>9.3433850740944422</v>
      </c>
      <c r="DB75" s="44">
        <f t="shared" si="6"/>
        <v>642.21651620417231</v>
      </c>
      <c r="DC75" s="46">
        <f t="shared" si="7"/>
        <v>10.422733009649164</v>
      </c>
      <c r="DD75" s="47">
        <f t="shared" si="8"/>
        <v>27.315804099389197</v>
      </c>
      <c r="DE75" s="46">
        <f t="shared" si="9"/>
        <v>1123.8927186421386</v>
      </c>
      <c r="DF75" s="47">
        <f>DD75</f>
        <v>27.315804099389197</v>
      </c>
      <c r="DG75" s="48" t="e">
        <f t="shared" si="42"/>
        <v>#N/A</v>
      </c>
      <c r="DH75" s="49"/>
      <c r="DI75" s="50" t="str">
        <f t="shared" si="30"/>
        <v/>
      </c>
      <c r="DJ75" s="51">
        <f t="shared" si="22"/>
        <v>1.7366090532842153E-2</v>
      </c>
      <c r="DK75" s="38">
        <f>DE75</f>
        <v>1123.8927186421386</v>
      </c>
      <c r="DL75" s="52">
        <v>18</v>
      </c>
      <c r="DM75" s="4"/>
      <c r="DN75" s="4">
        <f>$S$5</f>
        <v>0</v>
      </c>
      <c r="DO75" s="85"/>
      <c r="DP75" s="85"/>
      <c r="DQ75" s="4"/>
      <c r="DR75" s="18" t="e">
        <f t="shared" si="40"/>
        <v>#N/A</v>
      </c>
      <c r="DS75" s="54">
        <v>5</v>
      </c>
      <c r="DT75" s="55">
        <f t="shared" si="10"/>
        <v>22500</v>
      </c>
      <c r="DU75" s="54">
        <v>20</v>
      </c>
      <c r="DV75" s="54">
        <f t="shared" si="11"/>
        <v>36000</v>
      </c>
      <c r="DW75" s="56">
        <f t="shared" si="12"/>
        <v>8.3500181462286776</v>
      </c>
      <c r="DX75" s="57">
        <f t="shared" si="23"/>
        <v>3.2000000000000028</v>
      </c>
      <c r="DY75" s="58">
        <f t="shared" si="24"/>
        <v>14400.000000000013</v>
      </c>
      <c r="DZ75" s="65">
        <f t="shared" si="25"/>
        <v>16.219999999999985</v>
      </c>
      <c r="EA75" s="65">
        <f t="shared" si="26"/>
        <v>1890</v>
      </c>
      <c r="EB75" s="58">
        <f t="shared" si="31"/>
        <v>30655.79999999997</v>
      </c>
      <c r="EC75" s="58">
        <f t="shared" si="14"/>
        <v>2.1288749999999959</v>
      </c>
      <c r="ED75" s="57">
        <f t="shared" si="27"/>
        <v>11.377968355884304</v>
      </c>
      <c r="EE75" s="60" t="s">
        <v>44</v>
      </c>
      <c r="EF75" s="57"/>
      <c r="EG75" s="83">
        <v>46286</v>
      </c>
    </row>
    <row r="76" spans="65:137" ht="15">
      <c r="BM76" t="str">
        <f t="shared" si="32"/>
        <v/>
      </c>
      <c r="CI76" s="16">
        <v>46287</v>
      </c>
      <c r="CJ76" s="46">
        <v>7</v>
      </c>
      <c r="CK76" s="84">
        <f>J39</f>
        <v>0</v>
      </c>
      <c r="CL76" s="46">
        <f t="shared" si="41"/>
        <v>1143.5413484295495</v>
      </c>
      <c r="CM76" s="39">
        <f t="shared" si="1"/>
        <v>8.3500181462286776</v>
      </c>
      <c r="CN76" s="40">
        <f t="shared" si="17"/>
        <v>508.99200653735534</v>
      </c>
      <c r="CO76" s="4">
        <f t="shared" si="36"/>
        <v>0</v>
      </c>
      <c r="CP76" s="62">
        <f t="shared" si="37"/>
        <v>0</v>
      </c>
      <c r="CQ76" s="66" t="str">
        <f t="shared" si="38"/>
        <v/>
      </c>
      <c r="CR76" s="66" t="str">
        <f t="shared" si="39"/>
        <v/>
      </c>
      <c r="CS76" s="66" t="str">
        <f t="shared" si="43"/>
        <v/>
      </c>
      <c r="CT76" s="66" t="str">
        <f t="shared" si="44"/>
        <v/>
      </c>
      <c r="CU76" s="43">
        <f t="shared" si="33"/>
        <v>508.99200653735534</v>
      </c>
      <c r="CV76" s="44">
        <f t="shared" si="20"/>
        <v>642.21651620417231</v>
      </c>
      <c r="CW76" s="44">
        <f t="shared" si="2"/>
        <v>60.95699405961696</v>
      </c>
      <c r="CX76" s="44">
        <f t="shared" si="34"/>
        <v>50.576258514559512</v>
      </c>
      <c r="CY76" s="44">
        <f t="shared" si="4"/>
        <v>20.230503405823796</v>
      </c>
      <c r="CZ76" s="46">
        <f t="shared" si="5"/>
        <v>518.84177439812174</v>
      </c>
      <c r="DA76" s="46">
        <f t="shared" si="35"/>
        <v>9.8497678607664056</v>
      </c>
      <c r="DB76" s="44">
        <f t="shared" si="6"/>
        <v>652.59725174922971</v>
      </c>
      <c r="DC76" s="46">
        <f t="shared" si="7"/>
        <v>10.380735545057405</v>
      </c>
      <c r="DD76" s="47">
        <f t="shared" si="8"/>
        <v>27.897677717801738</v>
      </c>
      <c r="DE76" s="46">
        <f t="shared" si="9"/>
        <v>1143.5413484295495</v>
      </c>
      <c r="DF76" s="47"/>
      <c r="DG76" s="48" t="e">
        <f t="shared" si="42"/>
        <v>#N/A</v>
      </c>
      <c r="DH76" s="49"/>
      <c r="DI76" s="50" t="str">
        <f t="shared" si="30"/>
        <v/>
      </c>
      <c r="DJ76" s="51">
        <f t="shared" si="22"/>
        <v>1.7482656005770734E-2</v>
      </c>
      <c r="DK76" s="67"/>
      <c r="DL76" s="52">
        <v>19</v>
      </c>
      <c r="DM76" s="4"/>
      <c r="DN76" s="4"/>
      <c r="DO76" s="4"/>
      <c r="DP76" s="4"/>
      <c r="DQ76" s="85"/>
      <c r="DR76" s="18" t="e">
        <f t="shared" si="40"/>
        <v>#N/A</v>
      </c>
      <c r="DS76" s="54">
        <v>5</v>
      </c>
      <c r="DT76" s="55">
        <f t="shared" si="10"/>
        <v>22500</v>
      </c>
      <c r="DU76" s="54">
        <v>20</v>
      </c>
      <c r="DV76" s="54">
        <f t="shared" si="11"/>
        <v>36000</v>
      </c>
      <c r="DW76" s="56">
        <f t="shared" si="12"/>
        <v>8.3500181462286776</v>
      </c>
      <c r="DX76" s="57">
        <f t="shared" si="23"/>
        <v>3.1000000000000028</v>
      </c>
      <c r="DY76" s="58">
        <f t="shared" si="24"/>
        <v>13950.000000000013</v>
      </c>
      <c r="DZ76" s="65">
        <f t="shared" si="25"/>
        <v>16.009999999999984</v>
      </c>
      <c r="EA76" s="65">
        <f t="shared" si="26"/>
        <v>1895</v>
      </c>
      <c r="EB76" s="58">
        <f t="shared" si="31"/>
        <v>30338.949999999968</v>
      </c>
      <c r="EC76" s="58">
        <f t="shared" si="14"/>
        <v>2.1748351254480243</v>
      </c>
      <c r="ED76" s="57">
        <f t="shared" si="27"/>
        <v>11.484764286378182</v>
      </c>
      <c r="EE76" s="60" t="s">
        <v>44</v>
      </c>
      <c r="EF76" s="57"/>
      <c r="EG76" s="83">
        <v>46287</v>
      </c>
    </row>
    <row r="77" spans="65:137" ht="15">
      <c r="BM77" t="str">
        <f t="shared" si="32"/>
        <v/>
      </c>
      <c r="CI77" s="16">
        <v>46288</v>
      </c>
      <c r="CJ77" s="46">
        <v>8</v>
      </c>
      <c r="CK77" s="84">
        <f>K39</f>
        <v>0</v>
      </c>
      <c r="CL77" s="46">
        <f t="shared" si="41"/>
        <v>1163.6378521751064</v>
      </c>
      <c r="CM77" s="39">
        <f t="shared" si="1"/>
        <v>8.3500181462286776</v>
      </c>
      <c r="CN77" s="40">
        <f t="shared" si="17"/>
        <v>518.84177439812174</v>
      </c>
      <c r="CO77" s="4">
        <f t="shared" si="36"/>
        <v>0</v>
      </c>
      <c r="CP77" s="62">
        <f t="shared" si="37"/>
        <v>0</v>
      </c>
      <c r="CQ77" s="66" t="str">
        <f t="shared" si="38"/>
        <v/>
      </c>
      <c r="CR77" s="66" t="str">
        <f t="shared" si="39"/>
        <v/>
      </c>
      <c r="CS77" s="66" t="str">
        <f t="shared" si="43"/>
        <v/>
      </c>
      <c r="CT77" s="66" t="str">
        <f t="shared" si="44"/>
        <v/>
      </c>
      <c r="CU77" s="43">
        <f t="shared" si="33"/>
        <v>518.84177439812174</v>
      </c>
      <c r="CV77" s="44">
        <f t="shared" si="20"/>
        <v>652.59725174922971</v>
      </c>
      <c r="CW77" s="44">
        <f t="shared" si="2"/>
        <v>62.136604413543573</v>
      </c>
      <c r="CX77" s="44">
        <f t="shared" si="34"/>
        <v>51.698703877078174</v>
      </c>
      <c r="CY77" s="44">
        <f t="shared" si="4"/>
        <v>20.679481550831269</v>
      </c>
      <c r="CZ77" s="46">
        <f t="shared" si="5"/>
        <v>529.08335541248766</v>
      </c>
      <c r="DA77" s="46">
        <f t="shared" si="35"/>
        <v>10.24158101436592</v>
      </c>
      <c r="DB77" s="44">
        <f t="shared" si="6"/>
        <v>663.03515228569506</v>
      </c>
      <c r="DC77" s="46">
        <f t="shared" si="7"/>
        <v>10.437900536465349</v>
      </c>
      <c r="DD77" s="47">
        <f t="shared" si="8"/>
        <v>28.480655523076496</v>
      </c>
      <c r="DE77" s="46">
        <f t="shared" si="9"/>
        <v>1163.6378521751064</v>
      </c>
      <c r="DF77" s="47">
        <f>DD77</f>
        <v>28.480655523076496</v>
      </c>
      <c r="DG77" s="48" t="e">
        <f t="shared" si="42"/>
        <v>#N/A</v>
      </c>
      <c r="DH77" s="49">
        <f>IF($S$3="F",315*CZ77/EB77,315*CZ77/DV77)</f>
        <v>4.6294793598592667</v>
      </c>
      <c r="DI77" s="50" t="str">
        <f t="shared" si="30"/>
        <v/>
      </c>
      <c r="DJ77" s="51">
        <f t="shared" si="22"/>
        <v>1.7573919625342688E-2</v>
      </c>
      <c r="DK77" s="67"/>
      <c r="DL77" s="52">
        <v>20</v>
      </c>
      <c r="DM77" s="4"/>
      <c r="DN77" s="4"/>
      <c r="DO77" s="4">
        <f>$S$5</f>
        <v>0</v>
      </c>
      <c r="DP77" s="85"/>
      <c r="DQ77" s="4"/>
      <c r="DR77" s="18" t="e">
        <f t="shared" si="40"/>
        <v>#N/A</v>
      </c>
      <c r="DS77" s="54">
        <v>5</v>
      </c>
      <c r="DT77" s="55">
        <f t="shared" si="10"/>
        <v>22500</v>
      </c>
      <c r="DU77" s="54">
        <v>20</v>
      </c>
      <c r="DV77" s="54">
        <f t="shared" si="11"/>
        <v>36000</v>
      </c>
      <c r="DW77" s="56">
        <f t="shared" si="12"/>
        <v>8.3500181462286776</v>
      </c>
      <c r="DX77" s="57">
        <f t="shared" si="23"/>
        <v>3.0000000000000027</v>
      </c>
      <c r="DY77" s="58">
        <f t="shared" si="24"/>
        <v>13500.000000000013</v>
      </c>
      <c r="DZ77" s="65">
        <f t="shared" si="25"/>
        <v>15.799999999999983</v>
      </c>
      <c r="EA77" s="65">
        <f t="shared" si="26"/>
        <v>1900</v>
      </c>
      <c r="EB77" s="58">
        <f t="shared" si="31"/>
        <v>30019.999999999967</v>
      </c>
      <c r="EC77" s="58">
        <f t="shared" si="14"/>
        <v>2.2237037037036993</v>
      </c>
      <c r="ED77" s="57">
        <f t="shared" si="27"/>
        <v>11.59587070380465</v>
      </c>
      <c r="EE77" s="60" t="s">
        <v>44</v>
      </c>
      <c r="EF77" s="57"/>
      <c r="EG77" s="83">
        <v>46288</v>
      </c>
    </row>
    <row r="78" spans="65:137" ht="15">
      <c r="BM78" t="str">
        <f t="shared" si="32"/>
        <v/>
      </c>
      <c r="CI78" s="16">
        <v>46289</v>
      </c>
      <c r="CJ78" s="46">
        <v>9</v>
      </c>
      <c r="CK78" s="84">
        <f>L39</f>
        <v>0</v>
      </c>
      <c r="CL78" s="46">
        <f t="shared" si="41"/>
        <v>1184.1709326745399</v>
      </c>
      <c r="CM78" s="39">
        <f t="shared" si="1"/>
        <v>8.3500181462286776</v>
      </c>
      <c r="CN78" s="40">
        <f t="shared" si="17"/>
        <v>529.08335541248766</v>
      </c>
      <c r="CO78" s="4">
        <f t="shared" si="36"/>
        <v>0</v>
      </c>
      <c r="CP78" s="62">
        <f t="shared" si="37"/>
        <v>0</v>
      </c>
      <c r="CQ78" s="66" t="str">
        <f t="shared" si="38"/>
        <v/>
      </c>
      <c r="CR78" s="66" t="str">
        <f t="shared" si="39"/>
        <v/>
      </c>
      <c r="CS78" s="66" t="str">
        <f t="shared" si="43"/>
        <v/>
      </c>
      <c r="CT78" s="66" t="str">
        <f t="shared" si="44"/>
        <v/>
      </c>
      <c r="CU78" s="43">
        <f t="shared" si="33"/>
        <v>529.08335541248766</v>
      </c>
      <c r="CV78" s="44">
        <f t="shared" si="20"/>
        <v>663.03515228569506</v>
      </c>
      <c r="CW78" s="44">
        <f t="shared" si="2"/>
        <v>63.3631383964657</v>
      </c>
      <c r="CX78" s="44">
        <f t="shared" si="34"/>
        <v>52.795088616695068</v>
      </c>
      <c r="CY78" s="44">
        <f t="shared" si="4"/>
        <v>21.118035446678022</v>
      </c>
      <c r="CZ78" s="46">
        <f t="shared" si="5"/>
        <v>539.633341079395</v>
      </c>
      <c r="DA78" s="46">
        <f t="shared" si="35"/>
        <v>10.549985666907332</v>
      </c>
      <c r="DB78" s="44">
        <f t="shared" si="6"/>
        <v>673.60320206546567</v>
      </c>
      <c r="DC78" s="46">
        <f t="shared" si="7"/>
        <v>10.568049779770604</v>
      </c>
      <c r="DD78" s="47">
        <f t="shared" si="8"/>
        <v>29.065610470320713</v>
      </c>
      <c r="DE78" s="46">
        <f t="shared" si="9"/>
        <v>1184.1709326745399</v>
      </c>
      <c r="DF78" s="47"/>
      <c r="DG78" s="48" t="e">
        <f t="shared" si="42"/>
        <v>#N/A</v>
      </c>
      <c r="DH78" s="49"/>
      <c r="DI78" s="50" t="str">
        <f t="shared" si="30"/>
        <v/>
      </c>
      <c r="DJ78" s="51">
        <f t="shared" si="22"/>
        <v>1.7645593481728391E-2</v>
      </c>
      <c r="DK78" s="38"/>
      <c r="DL78" s="52">
        <v>21</v>
      </c>
      <c r="DM78" s="4">
        <f>$S$5</f>
        <v>0</v>
      </c>
      <c r="DN78" s="4"/>
      <c r="DO78" s="4"/>
      <c r="DP78" s="4"/>
      <c r="DQ78" s="4"/>
      <c r="DR78" s="18" t="e">
        <f t="shared" si="40"/>
        <v>#N/A</v>
      </c>
      <c r="DS78" s="54">
        <v>5</v>
      </c>
      <c r="DT78" s="55">
        <f t="shared" si="10"/>
        <v>22500</v>
      </c>
      <c r="DU78" s="54">
        <v>20</v>
      </c>
      <c r="DV78" s="54">
        <f t="shared" si="11"/>
        <v>36000</v>
      </c>
      <c r="DW78" s="56">
        <f t="shared" si="12"/>
        <v>8.3500181462286776</v>
      </c>
      <c r="DX78" s="57">
        <f t="shared" si="23"/>
        <v>2.9000000000000026</v>
      </c>
      <c r="DY78" s="58">
        <f t="shared" si="24"/>
        <v>13050.000000000011</v>
      </c>
      <c r="DZ78" s="65">
        <f t="shared" si="25"/>
        <v>15.589999999999982</v>
      </c>
      <c r="EA78" s="65">
        <f t="shared" si="26"/>
        <v>1905</v>
      </c>
      <c r="EB78" s="58">
        <f t="shared" si="31"/>
        <v>29698.949999999964</v>
      </c>
      <c r="EC78" s="58">
        <f t="shared" si="14"/>
        <v>2.2757816091953975</v>
      </c>
      <c r="ED78" s="57">
        <f t="shared" si="27"/>
        <v>11.711617789398225</v>
      </c>
      <c r="EE78" s="60" t="s">
        <v>44</v>
      </c>
      <c r="EF78" s="57"/>
      <c r="EG78" s="83">
        <v>46289</v>
      </c>
    </row>
    <row r="79" spans="65:137" ht="15">
      <c r="BM79" t="str">
        <f t="shared" si="32"/>
        <v/>
      </c>
      <c r="CI79" s="16">
        <v>46290</v>
      </c>
      <c r="CJ79" s="46">
        <v>10</v>
      </c>
      <c r="CK79" s="84">
        <f>M39</f>
        <v>0</v>
      </c>
      <c r="CL79" s="46">
        <f t="shared" si="41"/>
        <v>1205.1332282466717</v>
      </c>
      <c r="CM79" s="39">
        <f t="shared" si="1"/>
        <v>8.3500181462286776</v>
      </c>
      <c r="CN79" s="40">
        <f t="shared" si="17"/>
        <v>539.633341079395</v>
      </c>
      <c r="CO79" s="4">
        <f t="shared" si="36"/>
        <v>0</v>
      </c>
      <c r="CP79" s="62">
        <f t="shared" si="37"/>
        <v>0</v>
      </c>
      <c r="CQ79" s="66" t="str">
        <f t="shared" si="38"/>
        <v/>
      </c>
      <c r="CR79" s="66" t="str">
        <f t="shared" si="39"/>
        <v/>
      </c>
      <c r="CS79" s="66" t="str">
        <f t="shared" si="43"/>
        <v/>
      </c>
      <c r="CT79" s="66" t="str">
        <f t="shared" si="44"/>
        <v/>
      </c>
      <c r="CU79" s="43">
        <f t="shared" si="33"/>
        <v>539.633341079395</v>
      </c>
      <c r="CV79" s="44">
        <f t="shared" si="20"/>
        <v>673.60320206546567</v>
      </c>
      <c r="CW79" s="44">
        <f t="shared" si="2"/>
        <v>64.626606988048621</v>
      </c>
      <c r="CX79" s="44">
        <f t="shared" si="34"/>
        <v>53.875186287958336</v>
      </c>
      <c r="CY79" s="44">
        <f t="shared" si="4"/>
        <v>21.550074515183333</v>
      </c>
      <c r="CZ79" s="46">
        <f t="shared" si="5"/>
        <v>550.43199489448807</v>
      </c>
      <c r="DA79" s="46">
        <f t="shared" si="35"/>
        <v>10.798653815093076</v>
      </c>
      <c r="DB79" s="44">
        <f t="shared" si="6"/>
        <v>684.35462276555597</v>
      </c>
      <c r="DC79" s="46">
        <f t="shared" si="7"/>
        <v>10.751420700090307</v>
      </c>
      <c r="DD79" s="47">
        <f t="shared" si="8"/>
        <v>29.653389413372373</v>
      </c>
      <c r="DE79" s="46">
        <f t="shared" si="9"/>
        <v>1205.1332282466717</v>
      </c>
      <c r="DF79" s="47">
        <f>DD79</f>
        <v>29.653389413372373</v>
      </c>
      <c r="DG79" s="48" t="e">
        <f t="shared" si="42"/>
        <v>#N/A</v>
      </c>
      <c r="DH79" s="49"/>
      <c r="DI79" s="50" t="str">
        <f t="shared" si="30"/>
        <v/>
      </c>
      <c r="DJ79" s="51">
        <f t="shared" si="22"/>
        <v>1.7702085901388276E-2</v>
      </c>
      <c r="DK79" s="67"/>
      <c r="DL79" s="52">
        <v>22</v>
      </c>
      <c r="DM79" s="4"/>
      <c r="DN79" s="4">
        <f>$S$5</f>
        <v>0</v>
      </c>
      <c r="DO79" s="4"/>
      <c r="DP79" s="4"/>
      <c r="DQ79" s="85"/>
      <c r="DR79" s="18" t="e">
        <f t="shared" si="40"/>
        <v>#N/A</v>
      </c>
      <c r="DS79" s="54">
        <v>5</v>
      </c>
      <c r="DT79" s="55">
        <f t="shared" si="10"/>
        <v>22500</v>
      </c>
      <c r="DU79" s="54">
        <v>20</v>
      </c>
      <c r="DV79" s="54">
        <f t="shared" si="11"/>
        <v>36000</v>
      </c>
      <c r="DW79" s="56">
        <f t="shared" si="12"/>
        <v>8.3500181462286776</v>
      </c>
      <c r="DX79" s="57">
        <f t="shared" si="23"/>
        <v>2.8000000000000025</v>
      </c>
      <c r="DY79" s="58">
        <f t="shared" si="24"/>
        <v>12600.000000000011</v>
      </c>
      <c r="DZ79" s="65">
        <f t="shared" si="25"/>
        <v>15.379999999999981</v>
      </c>
      <c r="EA79" s="65">
        <f t="shared" si="26"/>
        <v>1910</v>
      </c>
      <c r="EB79" s="58">
        <f t="shared" si="31"/>
        <v>29375.799999999963</v>
      </c>
      <c r="EC79" s="58">
        <f t="shared" si="14"/>
        <v>2.3314126984126933</v>
      </c>
      <c r="ED79" s="57">
        <f t="shared" si="27"/>
        <v>11.83237196089301</v>
      </c>
      <c r="EE79" s="60" t="s">
        <v>44</v>
      </c>
      <c r="EF79" s="57"/>
      <c r="EG79" s="83">
        <v>46290</v>
      </c>
    </row>
    <row r="80" spans="65:137" ht="15">
      <c r="BM80" t="str">
        <f t="shared" si="32"/>
        <v/>
      </c>
      <c r="CI80" s="16">
        <v>46291</v>
      </c>
      <c r="CJ80" s="46">
        <v>11</v>
      </c>
      <c r="CK80" s="84">
        <f>N39</f>
        <v>0</v>
      </c>
      <c r="CL80" s="46">
        <f t="shared" si="41"/>
        <v>1226.520485934213</v>
      </c>
      <c r="CM80" s="39">
        <f t="shared" si="1"/>
        <v>8.3500181462286776</v>
      </c>
      <c r="CN80" s="40">
        <f t="shared" si="17"/>
        <v>550.43199489448807</v>
      </c>
      <c r="CO80" s="4">
        <f t="shared" si="36"/>
        <v>0</v>
      </c>
      <c r="CP80" s="62">
        <f t="shared" si="37"/>
        <v>0</v>
      </c>
      <c r="CQ80" s="66" t="str">
        <f t="shared" si="38"/>
        <v/>
      </c>
      <c r="CR80" s="66" t="str">
        <f t="shared" si="39"/>
        <v/>
      </c>
      <c r="CS80" s="66" t="str">
        <f t="shared" si="43"/>
        <v/>
      </c>
      <c r="CT80" s="66" t="str">
        <f t="shared" si="44"/>
        <v/>
      </c>
      <c r="CU80" s="43">
        <f t="shared" si="33"/>
        <v>550.43199489448807</v>
      </c>
      <c r="CV80" s="44">
        <f t="shared" si="20"/>
        <v>684.35462276555597</v>
      </c>
      <c r="CW80" s="44">
        <f t="shared" si="2"/>
        <v>65.9198561314616</v>
      </c>
      <c r="CX80" s="44">
        <f t="shared" si="34"/>
        <v>54.946681465309474</v>
      </c>
      <c r="CY80" s="44">
        <f t="shared" si="4"/>
        <v>21.978672586123785</v>
      </c>
      <c r="CZ80" s="46">
        <f t="shared" si="5"/>
        <v>561.4374928144598</v>
      </c>
      <c r="DA80" s="46">
        <f t="shared" si="35"/>
        <v>11.005497919971731</v>
      </c>
      <c r="DB80" s="44">
        <f t="shared" si="6"/>
        <v>695.32779743170818</v>
      </c>
      <c r="DC80" s="46">
        <f t="shared" si="7"/>
        <v>10.973174666152204</v>
      </c>
      <c r="DD80" s="47">
        <f t="shared" si="8"/>
        <v>30.244804311955047</v>
      </c>
      <c r="DE80" s="46">
        <f t="shared" si="9"/>
        <v>1226.520485934213</v>
      </c>
      <c r="DF80" s="47"/>
      <c r="DG80" s="48" t="e">
        <f t="shared" si="42"/>
        <v>#N/A</v>
      </c>
      <c r="DH80" s="49"/>
      <c r="DI80" s="50" t="str">
        <f t="shared" si="30"/>
        <v/>
      </c>
      <c r="DJ80" s="51">
        <f t="shared" si="22"/>
        <v>1.7746799429518026E-2</v>
      </c>
      <c r="DK80" s="67"/>
      <c r="DL80" s="52">
        <v>23</v>
      </c>
      <c r="DM80" s="4"/>
      <c r="DN80" s="4"/>
      <c r="DO80" s="4"/>
      <c r="DP80" s="4">
        <f>$S$5</f>
        <v>0</v>
      </c>
      <c r="DQ80" s="4"/>
      <c r="DR80" s="18" t="e">
        <f t="shared" si="40"/>
        <v>#N/A</v>
      </c>
      <c r="DS80" s="54">
        <v>5</v>
      </c>
      <c r="DT80" s="55">
        <f t="shared" si="10"/>
        <v>22500</v>
      </c>
      <c r="DU80" s="54">
        <v>20</v>
      </c>
      <c r="DV80" s="54">
        <f t="shared" si="11"/>
        <v>36000</v>
      </c>
      <c r="DW80" s="56">
        <f t="shared" si="12"/>
        <v>8.3500181462286776</v>
      </c>
      <c r="DX80" s="57">
        <f t="shared" si="23"/>
        <v>2.7000000000000024</v>
      </c>
      <c r="DY80" s="58">
        <f t="shared" si="24"/>
        <v>12150.000000000011</v>
      </c>
      <c r="DZ80" s="65">
        <f t="shared" si="25"/>
        <v>15.16999999999998</v>
      </c>
      <c r="EA80" s="65">
        <f t="shared" si="26"/>
        <v>1915</v>
      </c>
      <c r="EB80" s="58">
        <f t="shared" si="31"/>
        <v>29050.549999999963</v>
      </c>
      <c r="EC80" s="58">
        <f t="shared" si="14"/>
        <v>2.3909917695473197</v>
      </c>
      <c r="ED80" s="57">
        <f t="shared" si="27"/>
        <v>11.958541231032452</v>
      </c>
      <c r="EE80" s="60" t="s">
        <v>44</v>
      </c>
      <c r="EF80" s="57"/>
      <c r="EG80" s="83">
        <v>46291</v>
      </c>
    </row>
    <row r="81" spans="65:137" ht="15">
      <c r="BM81" t="str">
        <f t="shared" si="32"/>
        <v/>
      </c>
      <c r="CI81" s="16">
        <v>46292</v>
      </c>
      <c r="CJ81" s="46">
        <v>12</v>
      </c>
      <c r="CK81" s="84">
        <f>O39</f>
        <v>0</v>
      </c>
      <c r="CL81" s="46">
        <f t="shared" si="41"/>
        <v>1248.3309162275641</v>
      </c>
      <c r="CM81" s="39">
        <f t="shared" si="1"/>
        <v>8.3500181462286776</v>
      </c>
      <c r="CN81" s="40">
        <f t="shared" si="17"/>
        <v>561.4374928144598</v>
      </c>
      <c r="CO81" s="4">
        <f t="shared" si="36"/>
        <v>0</v>
      </c>
      <c r="CP81" s="62">
        <f t="shared" si="37"/>
        <v>0</v>
      </c>
      <c r="CQ81" s="66" t="str">
        <f t="shared" si="38"/>
        <v/>
      </c>
      <c r="CR81" s="66" t="str">
        <f t="shared" si="39"/>
        <v/>
      </c>
      <c r="CS81" s="66" t="str">
        <f t="shared" si="43"/>
        <v/>
      </c>
      <c r="CT81" s="66" t="str">
        <f t="shared" si="44"/>
        <v/>
      </c>
      <c r="CU81" s="43">
        <f t="shared" si="33"/>
        <v>561.4374928144598</v>
      </c>
      <c r="CV81" s="44">
        <f t="shared" si="20"/>
        <v>695.32779743170818</v>
      </c>
      <c r="CW81" s="44">
        <f t="shared" si="2"/>
        <v>67.237876970127971</v>
      </c>
      <c r="CX81" s="44">
        <f t="shared" si="34"/>
        <v>56.015633017574565</v>
      </c>
      <c r="CY81" s="44">
        <f t="shared" si="4"/>
        <v>22.406253207029827</v>
      </c>
      <c r="CZ81" s="46">
        <f t="shared" si="5"/>
        <v>572.62150206893625</v>
      </c>
      <c r="DA81" s="46">
        <f t="shared" si="35"/>
        <v>11.18400925447645</v>
      </c>
      <c r="DB81" s="44">
        <f t="shared" si="6"/>
        <v>706.55004138426159</v>
      </c>
      <c r="DC81" s="46">
        <f t="shared" si="7"/>
        <v>11.222243952553413</v>
      </c>
      <c r="DD81" s="47">
        <f t="shared" si="8"/>
        <v>30.840627225633867</v>
      </c>
      <c r="DE81" s="46">
        <f t="shared" si="9"/>
        <v>1248.3309162275641</v>
      </c>
      <c r="DF81" s="47">
        <f>DD81</f>
        <v>30.840627225633867</v>
      </c>
      <c r="DG81" s="48" t="e">
        <f t="shared" si="42"/>
        <v>#N/A</v>
      </c>
      <c r="DH81" s="49"/>
      <c r="DI81" s="50" t="str">
        <f t="shared" si="30"/>
        <v/>
      </c>
      <c r="DJ81" s="51">
        <f t="shared" si="22"/>
        <v>1.7782361194512486E-2</v>
      </c>
      <c r="DK81" s="38">
        <f>DE81</f>
        <v>1248.3309162275641</v>
      </c>
      <c r="DL81" s="52">
        <v>24</v>
      </c>
      <c r="DM81" s="4"/>
      <c r="DN81" s="4"/>
      <c r="DO81" s="4"/>
      <c r="DP81" s="4"/>
      <c r="DQ81" s="4"/>
      <c r="DR81" s="18" t="e">
        <f t="shared" si="40"/>
        <v>#N/A</v>
      </c>
      <c r="DS81" s="54">
        <v>5</v>
      </c>
      <c r="DT81" s="55">
        <f t="shared" si="10"/>
        <v>22500</v>
      </c>
      <c r="DU81" s="54">
        <v>20</v>
      </c>
      <c r="DV81" s="54">
        <f t="shared" si="11"/>
        <v>36000</v>
      </c>
      <c r="DW81" s="56">
        <f t="shared" si="12"/>
        <v>8.3500181462286776</v>
      </c>
      <c r="DX81" s="57">
        <f t="shared" si="23"/>
        <v>2.6000000000000023</v>
      </c>
      <c r="DY81" s="58">
        <f t="shared" si="24"/>
        <v>11700.000000000011</v>
      </c>
      <c r="DZ81" s="65">
        <f t="shared" si="25"/>
        <v>14.95999999999998</v>
      </c>
      <c r="EA81" s="65">
        <f t="shared" si="26"/>
        <v>1920</v>
      </c>
      <c r="EB81" s="58">
        <f t="shared" si="31"/>
        <v>28723.199999999961</v>
      </c>
      <c r="EC81" s="58">
        <f t="shared" si="14"/>
        <v>2.4549743589743533</v>
      </c>
      <c r="ED81" s="57">
        <f t="shared" si="27"/>
        <v>12.090581583911543</v>
      </c>
      <c r="EE81" s="60" t="s">
        <v>44</v>
      </c>
      <c r="EF81" s="57"/>
      <c r="EG81" s="83">
        <v>46292</v>
      </c>
    </row>
    <row r="82" spans="65:137" ht="15">
      <c r="BM82" t="str">
        <f t="shared" si="32"/>
        <v/>
      </c>
      <c r="CI82" s="16">
        <v>46293</v>
      </c>
      <c r="CJ82" s="46">
        <v>13</v>
      </c>
      <c r="CK82" s="84">
        <f>P39</f>
        <v>0</v>
      </c>
      <c r="CL82" s="46">
        <f t="shared" si="41"/>
        <v>1270.4633958720221</v>
      </c>
      <c r="CM82" s="39">
        <f t="shared" si="1"/>
        <v>8.3500181462286776</v>
      </c>
      <c r="CN82" s="40">
        <f t="shared" si="17"/>
        <v>572.62150206893625</v>
      </c>
      <c r="CO82" s="4">
        <f t="shared" si="36"/>
        <v>0</v>
      </c>
      <c r="CP82" s="62">
        <f t="shared" si="37"/>
        <v>0</v>
      </c>
      <c r="CQ82" s="66" t="str">
        <f t="shared" si="38"/>
        <v/>
      </c>
      <c r="CR82" s="66" t="str">
        <f t="shared" si="39"/>
        <v/>
      </c>
      <c r="CS82" s="66" t="str">
        <f t="shared" si="43"/>
        <v/>
      </c>
      <c r="CT82" s="66" t="str">
        <f t="shared" si="44"/>
        <v/>
      </c>
      <c r="CU82" s="43">
        <f t="shared" si="33"/>
        <v>572.62150206893625</v>
      </c>
      <c r="CV82" s="44">
        <f t="shared" si="20"/>
        <v>706.55004138426159</v>
      </c>
      <c r="CW82" s="44">
        <f t="shared" si="2"/>
        <v>68.577276365269128</v>
      </c>
      <c r="CX82" s="44">
        <f t="shared" si="34"/>
        <v>56.073899705474929</v>
      </c>
      <c r="CY82" s="44">
        <f t="shared" si="4"/>
        <v>22.429559882189963</v>
      </c>
      <c r="CZ82" s="46">
        <f t="shared" si="5"/>
        <v>582.54768529133207</v>
      </c>
      <c r="DA82" s="46">
        <f t="shared" si="35"/>
        <v>9.9261832223958208</v>
      </c>
      <c r="DB82" s="44">
        <f t="shared" si="6"/>
        <v>719.05341804405577</v>
      </c>
      <c r="DC82" s="46">
        <f t="shared" si="7"/>
        <v>12.503376659794185</v>
      </c>
      <c r="DD82" s="47">
        <f t="shared" si="8"/>
        <v>31.137707463365885</v>
      </c>
      <c r="DE82" s="46">
        <f t="shared" si="9"/>
        <v>1270.4633958720221</v>
      </c>
      <c r="DF82" s="47"/>
      <c r="DG82" s="48" t="e">
        <f t="shared" si="42"/>
        <v>#N/A</v>
      </c>
      <c r="DH82" s="49"/>
      <c r="DI82" s="50" t="str">
        <f t="shared" si="30"/>
        <v/>
      </c>
      <c r="DJ82" s="51">
        <f t="shared" si="22"/>
        <v>1.7729657542522492E-2</v>
      </c>
      <c r="DK82" s="67"/>
      <c r="DL82" s="52">
        <v>25</v>
      </c>
      <c r="DM82" s="4">
        <f>$S$5</f>
        <v>0</v>
      </c>
      <c r="DN82" s="4"/>
      <c r="DO82" s="85"/>
      <c r="DP82" s="4"/>
      <c r="DQ82" s="85"/>
      <c r="DR82" s="18" t="e">
        <f t="shared" si="40"/>
        <v>#N/A</v>
      </c>
      <c r="DS82" s="54">
        <v>5</v>
      </c>
      <c r="DT82" s="55">
        <f t="shared" si="10"/>
        <v>22500</v>
      </c>
      <c r="DU82" s="54">
        <v>20</v>
      </c>
      <c r="DV82" s="54">
        <f t="shared" si="11"/>
        <v>36000</v>
      </c>
      <c r="DW82" s="56">
        <f t="shared" si="12"/>
        <v>8.3500181462286776</v>
      </c>
      <c r="DX82" s="57">
        <f t="shared" si="23"/>
        <v>2.5000000000000022</v>
      </c>
      <c r="DY82" s="58">
        <f t="shared" si="24"/>
        <v>11250.000000000009</v>
      </c>
      <c r="DZ82" s="65">
        <f t="shared" si="25"/>
        <v>14.749999999999979</v>
      </c>
      <c r="EA82" s="65">
        <f t="shared" si="26"/>
        <v>1925</v>
      </c>
      <c r="EB82" s="58">
        <f t="shared" si="31"/>
        <v>28393.74999999996</v>
      </c>
      <c r="EC82" s="58">
        <f t="shared" si="14"/>
        <v>2.5238888888888833</v>
      </c>
      <c r="ED82" s="57">
        <f t="shared" si="27"/>
        <v>12.229004609375725</v>
      </c>
      <c r="EE82" s="60" t="s">
        <v>44</v>
      </c>
      <c r="EF82" s="57"/>
      <c r="EG82" s="83">
        <v>46293</v>
      </c>
    </row>
    <row r="83" spans="65:137" ht="15">
      <c r="BM83" t="str">
        <f t="shared" si="32"/>
        <v/>
      </c>
      <c r="CI83" s="16">
        <v>46294</v>
      </c>
      <c r="CJ83" s="46">
        <v>14</v>
      </c>
      <c r="CK83" s="84">
        <f>Q39</f>
        <v>0</v>
      </c>
      <c r="CL83" s="46">
        <f t="shared" si="41"/>
        <v>1292.6823453516374</v>
      </c>
      <c r="CM83" s="39">
        <f t="shared" si="1"/>
        <v>8.3500181462286776</v>
      </c>
      <c r="CN83" s="40">
        <f t="shared" si="17"/>
        <v>582.54768529133207</v>
      </c>
      <c r="CO83" s="4">
        <f t="shared" si="36"/>
        <v>0</v>
      </c>
      <c r="CP83" s="62">
        <f t="shared" si="37"/>
        <v>0</v>
      </c>
      <c r="CQ83" s="66" t="str">
        <f t="shared" si="38"/>
        <v/>
      </c>
      <c r="CR83" s="66" t="str">
        <f t="shared" si="39"/>
        <v/>
      </c>
      <c r="CS83" s="66" t="str">
        <f t="shared" si="43"/>
        <v/>
      </c>
      <c r="CT83" s="66" t="str">
        <f t="shared" si="44"/>
        <v/>
      </c>
      <c r="CU83" s="43">
        <f t="shared" si="33"/>
        <v>582.54768529133207</v>
      </c>
      <c r="CV83" s="44">
        <f t="shared" si="20"/>
        <v>719.05341804405577</v>
      </c>
      <c r="CW83" s="44">
        <f t="shared" si="2"/>
        <v>69.766038239622546</v>
      </c>
      <c r="CX83" s="44">
        <f t="shared" si="34"/>
        <v>56.449341485329427</v>
      </c>
      <c r="CY83" s="44">
        <f t="shared" si="4"/>
        <v>22.579736594131759</v>
      </c>
      <c r="CZ83" s="46">
        <f t="shared" si="5"/>
        <v>591.81072513117078</v>
      </c>
      <c r="DA83" s="46">
        <f t="shared" si="35"/>
        <v>9.2630398398387115</v>
      </c>
      <c r="DB83" s="44">
        <f t="shared" si="6"/>
        <v>732.37011479834882</v>
      </c>
      <c r="DC83" s="46">
        <f t="shared" si="7"/>
        <v>13.316696754293048</v>
      </c>
      <c r="DD83" s="47">
        <f t="shared" si="8"/>
        <v>31.498494577882127</v>
      </c>
      <c r="DE83" s="46">
        <f t="shared" si="9"/>
        <v>1292.6823453516374</v>
      </c>
      <c r="DF83" s="47">
        <f>DD83</f>
        <v>31.498494577882127</v>
      </c>
      <c r="DG83" s="48" t="e">
        <f t="shared" si="42"/>
        <v>#N/A</v>
      </c>
      <c r="DH83" s="49"/>
      <c r="DI83" s="50" t="str">
        <f t="shared" si="30"/>
        <v/>
      </c>
      <c r="DJ83" s="51">
        <f t="shared" si="22"/>
        <v>1.7488854501285813E-2</v>
      </c>
      <c r="DK83" s="67"/>
      <c r="DL83" s="52">
        <v>26</v>
      </c>
      <c r="DM83" s="4"/>
      <c r="DN83" s="4"/>
      <c r="DO83" s="4"/>
      <c r="DP83" s="85"/>
      <c r="DQ83" s="85"/>
      <c r="DR83" s="18" t="e">
        <f t="shared" si="40"/>
        <v>#N/A</v>
      </c>
      <c r="DS83" s="54">
        <v>5</v>
      </c>
      <c r="DT83" s="55">
        <f t="shared" si="10"/>
        <v>22500</v>
      </c>
      <c r="DU83" s="54">
        <v>20</v>
      </c>
      <c r="DV83" s="54">
        <f t="shared" si="11"/>
        <v>36000</v>
      </c>
      <c r="DW83" s="56">
        <f t="shared" si="12"/>
        <v>8.3500181462286776</v>
      </c>
      <c r="DX83" s="57">
        <f t="shared" si="23"/>
        <v>2.4000000000000021</v>
      </c>
      <c r="DY83" s="58">
        <f t="shared" si="24"/>
        <v>10800.000000000009</v>
      </c>
      <c r="DZ83" s="65">
        <f t="shared" si="25"/>
        <v>14.539999999999978</v>
      </c>
      <c r="EA83" s="65">
        <f t="shared" si="26"/>
        <v>1930</v>
      </c>
      <c r="EB83" s="58">
        <f t="shared" si="31"/>
        <v>28062.199999999957</v>
      </c>
      <c r="EC83" s="58">
        <f t="shared" si="14"/>
        <v>2.5983518518518456</v>
      </c>
      <c r="ED83" s="57">
        <f t="shared" si="27"/>
        <v>12.374386704459955</v>
      </c>
      <c r="EE83" s="60" t="s">
        <v>44</v>
      </c>
      <c r="EF83" s="57"/>
      <c r="EG83" s="83">
        <v>46294</v>
      </c>
    </row>
    <row r="84" spans="65:137" ht="15">
      <c r="BM84" t="str">
        <f t="shared" si="32"/>
        <v/>
      </c>
      <c r="CI84" s="16">
        <v>46295</v>
      </c>
      <c r="CJ84" s="46">
        <v>15</v>
      </c>
      <c r="CK84" s="84">
        <f>R39</f>
        <v>0</v>
      </c>
      <c r="CL84" s="46">
        <f t="shared" si="41"/>
        <v>1315.0920870762179</v>
      </c>
      <c r="CM84" s="39">
        <f t="shared" si="1"/>
        <v>8.3500181462286776</v>
      </c>
      <c r="CN84" s="40">
        <f t="shared" si="17"/>
        <v>591.81072513117078</v>
      </c>
      <c r="CO84" s="4">
        <f t="shared" si="36"/>
        <v>0</v>
      </c>
      <c r="CP84" s="62">
        <f t="shared" si="37"/>
        <v>0</v>
      </c>
      <c r="CQ84" s="66" t="str">
        <f t="shared" si="38"/>
        <v/>
      </c>
      <c r="CR84" s="66" t="str">
        <f t="shared" si="39"/>
        <v/>
      </c>
      <c r="CS84" s="66" t="str">
        <f t="shared" si="43"/>
        <v/>
      </c>
      <c r="CT84" s="66" t="str">
        <f t="shared" si="44"/>
        <v/>
      </c>
      <c r="CU84" s="43">
        <f t="shared" si="33"/>
        <v>591.81072513117078</v>
      </c>
      <c r="CV84" s="44">
        <f t="shared" si="20"/>
        <v>732.37011479834882</v>
      </c>
      <c r="CW84" s="44">
        <f t="shared" si="2"/>
        <v>70.875381917399153</v>
      </c>
      <c r="CX84" s="44">
        <f t="shared" si="34"/>
        <v>57.065152749776786</v>
      </c>
      <c r="CY84" s="44">
        <f t="shared" si="4"/>
        <v>22.826061099910703</v>
      </c>
      <c r="CZ84" s="46">
        <f t="shared" si="5"/>
        <v>600.82655706345906</v>
      </c>
      <c r="DA84" s="46">
        <f t="shared" si="35"/>
        <v>9.0158319322882789</v>
      </c>
      <c r="DB84" s="44">
        <f t="shared" si="6"/>
        <v>746.18034396597125</v>
      </c>
      <c r="DC84" s="46">
        <f t="shared" si="7"/>
        <v>13.810229167622424</v>
      </c>
      <c r="DD84" s="47">
        <f t="shared" si="8"/>
        <v>31.91481395321231</v>
      </c>
      <c r="DE84" s="46">
        <f t="shared" si="9"/>
        <v>1315.0920870762179</v>
      </c>
      <c r="DF84" s="47"/>
      <c r="DG84" s="48" t="e">
        <f t="shared" si="42"/>
        <v>#N/A</v>
      </c>
      <c r="DH84" s="49"/>
      <c r="DI84" s="50" t="str">
        <f t="shared" si="30"/>
        <v/>
      </c>
      <c r="DJ84" s="51">
        <f t="shared" si="22"/>
        <v>1.7335845735933345E-2</v>
      </c>
      <c r="DK84" s="38"/>
      <c r="DL84" s="52">
        <v>27</v>
      </c>
      <c r="DM84" s="4"/>
      <c r="DN84" s="4">
        <f>$S$5</f>
        <v>0</v>
      </c>
      <c r="DO84" s="4">
        <f>$S$5</f>
        <v>0</v>
      </c>
      <c r="DP84" s="4"/>
      <c r="DQ84" s="4">
        <f>$S$5</f>
        <v>0</v>
      </c>
      <c r="DR84" s="18" t="e">
        <f t="shared" si="40"/>
        <v>#N/A</v>
      </c>
      <c r="DS84" s="54">
        <v>5</v>
      </c>
      <c r="DT84" s="55">
        <f t="shared" si="10"/>
        <v>22500</v>
      </c>
      <c r="DU84" s="54">
        <v>20</v>
      </c>
      <c r="DV84" s="54">
        <f t="shared" si="11"/>
        <v>36000</v>
      </c>
      <c r="DW84" s="56">
        <f t="shared" si="12"/>
        <v>8.3500181462286776</v>
      </c>
      <c r="DX84" s="57">
        <f t="shared" si="23"/>
        <v>2.300000000000002</v>
      </c>
      <c r="DY84" s="58">
        <f t="shared" si="24"/>
        <v>10350.000000000009</v>
      </c>
      <c r="DZ84" s="65">
        <f t="shared" si="25"/>
        <v>14.329999999999977</v>
      </c>
      <c r="EA84" s="65">
        <f t="shared" si="26"/>
        <v>1935</v>
      </c>
      <c r="EB84" s="58">
        <f t="shared" si="31"/>
        <v>27728.549999999956</v>
      </c>
      <c r="EC84" s="58">
        <f t="shared" si="14"/>
        <v>2.6790869565217323</v>
      </c>
      <c r="ED84" s="57">
        <f t="shared" si="27"/>
        <v>12.527380243052225</v>
      </c>
      <c r="EE84" s="60" t="s">
        <v>44</v>
      </c>
      <c r="EF84" s="57"/>
      <c r="EG84" s="83">
        <v>46295</v>
      </c>
    </row>
    <row r="85" spans="65:137" ht="15">
      <c r="BM85" t="str">
        <f t="shared" si="32"/>
        <v/>
      </c>
      <c r="CI85" s="16">
        <v>46296</v>
      </c>
      <c r="CJ85" s="46">
        <v>16</v>
      </c>
      <c r="CK85" s="84">
        <f>S39</f>
        <v>0</v>
      </c>
      <c r="CL85" s="46">
        <f t="shared" si="41"/>
        <v>1337.772527542136</v>
      </c>
      <c r="CM85" s="39">
        <f t="shared" si="1"/>
        <v>8.3500181462286776</v>
      </c>
      <c r="CN85" s="40">
        <f t="shared" si="17"/>
        <v>600.82655706345906</v>
      </c>
      <c r="CO85" s="4">
        <f t="shared" si="36"/>
        <v>0</v>
      </c>
      <c r="CP85" s="62">
        <f t="shared" si="37"/>
        <v>0</v>
      </c>
      <c r="CQ85" s="66" t="str">
        <f t="shared" si="38"/>
        <v/>
      </c>
      <c r="CR85" s="66" t="str">
        <f t="shared" si="39"/>
        <v/>
      </c>
      <c r="CS85" s="66" t="str">
        <f t="shared" si="43"/>
        <v/>
      </c>
      <c r="CT85" s="66" t="str">
        <f t="shared" si="44"/>
        <v/>
      </c>
      <c r="CU85" s="43">
        <f t="shared" si="33"/>
        <v>600.82655706345906</v>
      </c>
      <c r="CV85" s="44">
        <f t="shared" si="20"/>
        <v>746.18034396597125</v>
      </c>
      <c r="CW85" s="44">
        <f t="shared" si="2"/>
        <v>71.955119922083639</v>
      </c>
      <c r="CX85" s="44">
        <f t="shared" si="34"/>
        <v>57.86290439292079</v>
      </c>
      <c r="CY85" s="44">
        <f t="shared" si="4"/>
        <v>23.145161757168317</v>
      </c>
      <c r="CZ85" s="46">
        <f t="shared" si="5"/>
        <v>609.87950329146452</v>
      </c>
      <c r="DA85" s="46">
        <f t="shared" si="35"/>
        <v>9.0529462280054531</v>
      </c>
      <c r="DB85" s="44">
        <f t="shared" si="6"/>
        <v>760.27255949513415</v>
      </c>
      <c r="DC85" s="46">
        <f t="shared" si="7"/>
        <v>14.0922155291629</v>
      </c>
      <c r="DD85" s="47">
        <f t="shared" si="8"/>
        <v>32.379535244462716</v>
      </c>
      <c r="DE85" s="46">
        <f t="shared" si="9"/>
        <v>1337.772527542136</v>
      </c>
      <c r="DF85" s="47">
        <f t="shared" ref="DF85" si="45">DD85</f>
        <v>32.379535244462716</v>
      </c>
      <c r="DG85" s="48" t="e">
        <f t="shared" si="42"/>
        <v>#N/A</v>
      </c>
      <c r="DH85" s="49"/>
      <c r="DI85" s="50" t="str">
        <f t="shared" si="30"/>
        <v/>
      </c>
      <c r="DJ85" s="51">
        <f t="shared" si="22"/>
        <v>1.7246275518501851E-2</v>
      </c>
      <c r="DK85" s="67"/>
      <c r="DL85" s="52">
        <v>28</v>
      </c>
      <c r="DM85" s="4"/>
      <c r="DN85" s="4"/>
      <c r="DO85" s="4"/>
      <c r="DP85" s="85"/>
      <c r="DQ85" s="4"/>
      <c r="DR85" s="18" t="e">
        <f t="shared" si="40"/>
        <v>#N/A</v>
      </c>
      <c r="DS85" s="54">
        <v>5</v>
      </c>
      <c r="DT85" s="55">
        <f t="shared" si="10"/>
        <v>22500</v>
      </c>
      <c r="DU85" s="54">
        <v>20</v>
      </c>
      <c r="DV85" s="54">
        <f t="shared" si="11"/>
        <v>36000</v>
      </c>
      <c r="DW85" s="56">
        <f t="shared" si="12"/>
        <v>8.3500181462286776</v>
      </c>
      <c r="DX85" s="57">
        <f t="shared" si="23"/>
        <v>2.200000000000002</v>
      </c>
      <c r="DY85" s="58">
        <f t="shared" si="24"/>
        <v>9900.0000000000091</v>
      </c>
      <c r="DZ85" s="65">
        <f t="shared" si="25"/>
        <v>14.119999999999976</v>
      </c>
      <c r="EA85" s="65">
        <f t="shared" si="26"/>
        <v>1940</v>
      </c>
      <c r="EB85" s="58">
        <f t="shared" si="31"/>
        <v>27392.799999999952</v>
      </c>
      <c r="EC85" s="58">
        <f t="shared" si="14"/>
        <v>2.7669494949494875</v>
      </c>
      <c r="ED85" s="57">
        <f t="shared" si="27"/>
        <v>12.688727239998929</v>
      </c>
      <c r="EE85" s="60" t="s">
        <v>44</v>
      </c>
      <c r="EF85" s="57"/>
      <c r="EG85" s="83">
        <v>46296</v>
      </c>
    </row>
    <row r="86" spans="65:137" ht="15">
      <c r="BM86" t="str">
        <f t="shared" si="32"/>
        <v/>
      </c>
      <c r="CI86" s="16">
        <v>46297</v>
      </c>
      <c r="CJ86" s="46">
        <v>17</v>
      </c>
      <c r="CK86" s="84">
        <f>T39</f>
        <v>0</v>
      </c>
      <c r="CL86" s="46">
        <f t="shared" si="41"/>
        <v>1360.7849076064899</v>
      </c>
      <c r="CM86" s="39">
        <f t="shared" si="1"/>
        <v>8.3500181462286776</v>
      </c>
      <c r="CN86" s="40">
        <f t="shared" si="17"/>
        <v>609.87950329146452</v>
      </c>
      <c r="CO86" s="4">
        <f t="shared" si="36"/>
        <v>0</v>
      </c>
      <c r="CP86" s="62">
        <f t="shared" si="37"/>
        <v>0</v>
      </c>
      <c r="CQ86" s="66" t="str">
        <f t="shared" si="38"/>
        <v/>
      </c>
      <c r="CR86" s="66" t="str">
        <f t="shared" si="39"/>
        <v/>
      </c>
      <c r="CS86" s="66" t="str">
        <f t="shared" si="43"/>
        <v/>
      </c>
      <c r="CT86" s="66" t="str">
        <f t="shared" si="44"/>
        <v/>
      </c>
      <c r="CU86" s="43">
        <f t="shared" si="33"/>
        <v>609.87950329146452</v>
      </c>
      <c r="CV86" s="44">
        <f t="shared" si="20"/>
        <v>760.27255949513415</v>
      </c>
      <c r="CW86" s="44">
        <f t="shared" si="2"/>
        <v>73.03930274294305</v>
      </c>
      <c r="CX86" s="44">
        <f t="shared" si="34"/>
        <v>58.79832402177631</v>
      </c>
      <c r="CY86" s="44">
        <f t="shared" si="4"/>
        <v>23.519329608710521</v>
      </c>
      <c r="CZ86" s="46">
        <f t="shared" si="5"/>
        <v>619.15785417900838</v>
      </c>
      <c r="DA86" s="46">
        <f t="shared" si="35"/>
        <v>9.2783508875438656</v>
      </c>
      <c r="DB86" s="44">
        <f t="shared" si="6"/>
        <v>774.51353821630084</v>
      </c>
      <c r="DC86" s="46">
        <f t="shared" si="7"/>
        <v>14.240978721166698</v>
      </c>
      <c r="DD86" s="47">
        <f t="shared" si="8"/>
        <v>32.886484788819509</v>
      </c>
      <c r="DE86" s="46">
        <f t="shared" si="9"/>
        <v>1360.7849076064899</v>
      </c>
      <c r="DF86" s="47"/>
      <c r="DG86" s="48" t="e">
        <f t="shared" si="42"/>
        <v>#N/A</v>
      </c>
      <c r="DH86" s="49"/>
      <c r="DI86" s="50" t="str">
        <f t="shared" si="30"/>
        <v/>
      </c>
      <c r="DJ86" s="51">
        <f t="shared" si="22"/>
        <v>1.7202012741758217E-2</v>
      </c>
      <c r="DK86" s="67"/>
      <c r="DL86" s="52">
        <v>29</v>
      </c>
      <c r="DM86" s="4">
        <f>$S$5</f>
        <v>0</v>
      </c>
      <c r="DN86" s="4"/>
      <c r="DO86" s="4"/>
      <c r="DP86" s="4"/>
      <c r="DQ86" s="4"/>
      <c r="DR86" s="18" t="e">
        <f t="shared" si="40"/>
        <v>#N/A</v>
      </c>
      <c r="DS86" s="54">
        <v>5</v>
      </c>
      <c r="DT86" s="55">
        <f t="shared" si="10"/>
        <v>22500</v>
      </c>
      <c r="DU86" s="54">
        <v>20</v>
      </c>
      <c r="DV86" s="54">
        <f t="shared" si="11"/>
        <v>36000</v>
      </c>
      <c r="DW86" s="56">
        <f t="shared" si="12"/>
        <v>8.3500181462286776</v>
      </c>
      <c r="DX86" s="57">
        <f t="shared" si="23"/>
        <v>2.1000000000000019</v>
      </c>
      <c r="DY86" s="58">
        <f t="shared" si="24"/>
        <v>9450.0000000000091</v>
      </c>
      <c r="DZ86" s="65">
        <f t="shared" si="25"/>
        <v>13.909999999999975</v>
      </c>
      <c r="EA86" s="65">
        <f t="shared" si="26"/>
        <v>1945</v>
      </c>
      <c r="EB86" s="58">
        <f t="shared" si="31"/>
        <v>27054.949999999953</v>
      </c>
      <c r="EC86" s="58">
        <f t="shared" si="14"/>
        <v>2.8629576719576644</v>
      </c>
      <c r="ED86" s="57">
        <f t="shared" si="27"/>
        <v>12.859276207500535</v>
      </c>
      <c r="EE86" s="60" t="s">
        <v>44</v>
      </c>
      <c r="EF86" s="57"/>
      <c r="EG86" s="83">
        <v>46297</v>
      </c>
    </row>
    <row r="87" spans="65:137" ht="15">
      <c r="BM87" t="str">
        <f t="shared" si="32"/>
        <v/>
      </c>
      <c r="CI87" s="16">
        <v>46298</v>
      </c>
      <c r="CJ87" s="46">
        <v>18</v>
      </c>
      <c r="CK87" s="84">
        <f>U39</f>
        <v>0</v>
      </c>
      <c r="CL87" s="46">
        <f t="shared" si="41"/>
        <v>1384.1762488627348</v>
      </c>
      <c r="CM87" s="39">
        <f t="shared" si="1"/>
        <v>8.3500181462286776</v>
      </c>
      <c r="CN87" s="40">
        <f t="shared" si="17"/>
        <v>619.15785417900838</v>
      </c>
      <c r="CO87" s="4">
        <f t="shared" si="36"/>
        <v>0</v>
      </c>
      <c r="CP87" s="62">
        <f t="shared" si="37"/>
        <v>0</v>
      </c>
      <c r="CQ87" s="66" t="str">
        <f t="shared" si="38"/>
        <v/>
      </c>
      <c r="CR87" s="66" t="str">
        <f t="shared" si="39"/>
        <v/>
      </c>
      <c r="CS87" s="66" t="str">
        <f t="shared" si="43"/>
        <v/>
      </c>
      <c r="CT87" s="66" t="str">
        <f t="shared" si="44"/>
        <v/>
      </c>
      <c r="CU87" s="43">
        <f t="shared" si="33"/>
        <v>619.15785417900838</v>
      </c>
      <c r="CV87" s="44">
        <f t="shared" si="20"/>
        <v>774.51353821630084</v>
      </c>
      <c r="CW87" s="44">
        <f t="shared" si="2"/>
        <v>74.150480075142568</v>
      </c>
      <c r="CX87" s="44">
        <f t="shared" si="34"/>
        <v>59.838028219008052</v>
      </c>
      <c r="CY87" s="44">
        <f t="shared" si="4"/>
        <v>23.935211287603209</v>
      </c>
      <c r="CZ87" s="46">
        <f t="shared" si="5"/>
        <v>628.78061361047708</v>
      </c>
      <c r="DA87" s="46">
        <f t="shared" si="35"/>
        <v>9.6227594314686939</v>
      </c>
      <c r="DB87" s="44">
        <f t="shared" si="6"/>
        <v>788.82599007243539</v>
      </c>
      <c r="DC87" s="46">
        <f t="shared" si="7"/>
        <v>14.312451856134544</v>
      </c>
      <c r="DD87" s="47">
        <f t="shared" si="8"/>
        <v>33.430354820177627</v>
      </c>
      <c r="DE87" s="46">
        <f t="shared" si="9"/>
        <v>1384.1762488627348</v>
      </c>
      <c r="DF87" s="47">
        <f t="shared" ref="DF87" si="46">DD87</f>
        <v>33.430354820177627</v>
      </c>
      <c r="DG87" s="48" t="e">
        <f t="shared" si="42"/>
        <v>#N/A</v>
      </c>
      <c r="DH87" s="49">
        <f>IF($S$3="F",315*CZ87/EB87,315*CZ87/DV87)</f>
        <v>5.5018303690916746</v>
      </c>
      <c r="DI87" s="50" t="str">
        <f t="shared" si="30"/>
        <v/>
      </c>
      <c r="DJ87" s="51">
        <f t="shared" si="22"/>
        <v>1.7189594862121436E-2</v>
      </c>
      <c r="DK87" s="38">
        <f>DE87</f>
        <v>1384.1762488627348</v>
      </c>
      <c r="DL87" s="52">
        <v>30</v>
      </c>
      <c r="DM87" s="4"/>
      <c r="DN87" s="4"/>
      <c r="DO87" s="4"/>
      <c r="DP87" s="4"/>
      <c r="DQ87" s="4"/>
      <c r="DR87" s="18" t="e">
        <f t="shared" si="40"/>
        <v>#N/A</v>
      </c>
      <c r="DS87" s="54">
        <v>5</v>
      </c>
      <c r="DT87" s="55">
        <f t="shared" si="10"/>
        <v>22500</v>
      </c>
      <c r="DU87" s="54">
        <v>20</v>
      </c>
      <c r="DV87" s="54">
        <f t="shared" si="11"/>
        <v>36000</v>
      </c>
      <c r="DW87" s="56">
        <f t="shared" si="12"/>
        <v>8.3500181462286776</v>
      </c>
      <c r="DX87" s="57">
        <f t="shared" si="23"/>
        <v>2.0000000000000018</v>
      </c>
      <c r="DY87" s="58">
        <f t="shared" si="24"/>
        <v>9000.0000000000073</v>
      </c>
      <c r="DZ87" s="65">
        <f t="shared" si="25"/>
        <v>13.699999999999974</v>
      </c>
      <c r="EA87" s="65">
        <f t="shared" si="26"/>
        <v>1950</v>
      </c>
      <c r="EB87" s="58">
        <f t="shared" si="31"/>
        <v>26714.999999999949</v>
      </c>
      <c r="EC87" s="58">
        <f t="shared" si="14"/>
        <v>2.9683333333333253</v>
      </c>
      <c r="ED87" s="57">
        <f t="shared" si="27"/>
        <v>13.040003140367563</v>
      </c>
      <c r="EE87" s="60" t="s">
        <v>44</v>
      </c>
      <c r="EF87" s="57"/>
      <c r="EG87" s="83">
        <v>46298</v>
      </c>
    </row>
    <row r="88" spans="65:137" ht="15">
      <c r="BM88" t="str">
        <f t="shared" si="32"/>
        <v/>
      </c>
      <c r="CI88" s="16">
        <v>46299</v>
      </c>
      <c r="CJ88" s="46">
        <v>19</v>
      </c>
      <c r="CK88" s="84">
        <f>V39</f>
        <v>1</v>
      </c>
      <c r="CL88" s="46">
        <f t="shared" si="41"/>
        <v>1407.9827877486123</v>
      </c>
      <c r="CM88" s="39">
        <f t="shared" si="1"/>
        <v>8.3500181462286776</v>
      </c>
      <c r="CN88" s="40">
        <f t="shared" si="17"/>
        <v>628.78061361047708</v>
      </c>
      <c r="CO88" s="4">
        <f t="shared" si="36"/>
        <v>0</v>
      </c>
      <c r="CP88" s="62">
        <f t="shared" si="37"/>
        <v>0</v>
      </c>
      <c r="CQ88" s="66" t="str">
        <f t="shared" si="38"/>
        <v/>
      </c>
      <c r="CR88" s="66" t="str">
        <f t="shared" si="39"/>
        <v/>
      </c>
      <c r="CS88" s="66" t="str">
        <f t="shared" si="43"/>
        <v/>
      </c>
      <c r="CT88" s="66" t="str">
        <f t="shared" si="44"/>
        <v/>
      </c>
      <c r="CU88" s="43">
        <f t="shared" si="33"/>
        <v>628.78061361047708</v>
      </c>
      <c r="CV88" s="44">
        <f t="shared" si="20"/>
        <v>788.82599007243539</v>
      </c>
      <c r="CW88" s="44">
        <f t="shared" si="2"/>
        <v>75.302903849911829</v>
      </c>
      <c r="CX88" s="44">
        <f t="shared" si="34"/>
        <v>60.95699405961696</v>
      </c>
      <c r="CY88" s="44">
        <f t="shared" si="4"/>
        <v>24.382797623846784</v>
      </c>
      <c r="CZ88" s="46">
        <f t="shared" si="5"/>
        <v>638.81750144402895</v>
      </c>
      <c r="DA88" s="46">
        <f t="shared" si="35"/>
        <v>10.036887833551873</v>
      </c>
      <c r="DB88" s="44">
        <f t="shared" si="6"/>
        <v>803.17189986273024</v>
      </c>
      <c r="DC88" s="46">
        <f t="shared" si="7"/>
        <v>14.345909790294854</v>
      </c>
      <c r="DD88" s="47">
        <f t="shared" si="8"/>
        <v>34.006613558147016</v>
      </c>
      <c r="DE88" s="46">
        <f t="shared" si="9"/>
        <v>1407.9827877486123</v>
      </c>
      <c r="DF88" s="47"/>
      <c r="DG88" s="48" t="e">
        <f t="shared" si="42"/>
        <v>#N/A</v>
      </c>
      <c r="DH88" s="49"/>
      <c r="DI88" s="50" t="str">
        <f t="shared" si="30"/>
        <v/>
      </c>
      <c r="DJ88" s="51">
        <f t="shared" si="22"/>
        <v>1.7199066163313625E-2</v>
      </c>
      <c r="DK88" s="67"/>
      <c r="DL88" s="52">
        <v>31</v>
      </c>
      <c r="DM88" s="4"/>
      <c r="DN88" s="4"/>
      <c r="DO88" s="4"/>
      <c r="DP88" s="4">
        <f>$S$5</f>
        <v>0</v>
      </c>
      <c r="DQ88" s="85"/>
      <c r="DR88" s="18" t="e">
        <f t="shared" si="40"/>
        <v>#N/A</v>
      </c>
      <c r="DS88" s="54">
        <v>5</v>
      </c>
      <c r="DT88" s="55">
        <f t="shared" si="10"/>
        <v>22500</v>
      </c>
      <c r="DU88" s="54">
        <v>20</v>
      </c>
      <c r="DV88" s="54">
        <f t="shared" si="11"/>
        <v>36000</v>
      </c>
      <c r="DW88" s="56">
        <f t="shared" si="12"/>
        <v>8.3500181462286776</v>
      </c>
      <c r="DX88" s="57">
        <f t="shared" si="23"/>
        <v>1.9000000000000017</v>
      </c>
      <c r="DY88" s="58">
        <f t="shared" si="24"/>
        <v>8550.0000000000073</v>
      </c>
      <c r="DZ88" s="65">
        <f t="shared" si="25"/>
        <v>13.489999999999974</v>
      </c>
      <c r="EA88" s="65">
        <f t="shared" si="26"/>
        <v>1955</v>
      </c>
      <c r="EB88" s="58">
        <f t="shared" si="31"/>
        <v>26372.94999999995</v>
      </c>
      <c r="EC88" s="58">
        <f t="shared" si="14"/>
        <v>3.0845555555555473</v>
      </c>
      <c r="ED88" s="57">
        <f t="shared" si="27"/>
        <v>13.23203790354161</v>
      </c>
      <c r="EE88" s="60" t="s">
        <v>44</v>
      </c>
      <c r="EF88" s="57"/>
      <c r="EG88" s="83">
        <v>46299</v>
      </c>
    </row>
    <row r="89" spans="65:137" ht="15">
      <c r="BM89" t="str">
        <f t="shared" si="32"/>
        <v/>
      </c>
      <c r="CI89" s="16">
        <v>46300</v>
      </c>
      <c r="CJ89" s="46">
        <v>20</v>
      </c>
      <c r="CK89" s="84">
        <f>W39</f>
        <v>0</v>
      </c>
      <c r="CL89" s="46">
        <f t="shared" si="41"/>
        <v>1432.2326242120128</v>
      </c>
      <c r="CM89" s="39">
        <f t="shared" ref="CM89:CM120" si="47">IF($S$3="S",DW89,IF($S$3="F",ED89))</f>
        <v>8.3500181462286776</v>
      </c>
      <c r="CN89" s="40">
        <f t="shared" si="17"/>
        <v>638.81750144402895</v>
      </c>
      <c r="CO89" s="4">
        <f t="shared" si="36"/>
        <v>0</v>
      </c>
      <c r="CP89" s="62">
        <f t="shared" si="37"/>
        <v>0</v>
      </c>
      <c r="CQ89" s="66" t="str">
        <f t="shared" si="38"/>
        <v/>
      </c>
      <c r="CR89" s="66" t="str">
        <f t="shared" si="39"/>
        <v/>
      </c>
      <c r="CS89" s="66" t="str">
        <f t="shared" si="43"/>
        <v/>
      </c>
      <c r="CT89" s="66" t="str">
        <f t="shared" si="44"/>
        <v/>
      </c>
      <c r="CU89" s="43">
        <f t="shared" si="33"/>
        <v>638.81750144402895</v>
      </c>
      <c r="CV89" s="44">
        <f t="shared" si="20"/>
        <v>803.17189986273024</v>
      </c>
      <c r="CW89" s="44">
        <f t="shared" ref="CW89:CW120" si="48">CU89/CM89</f>
        <v>76.504923732717117</v>
      </c>
      <c r="CX89" s="44">
        <f t="shared" si="34"/>
        <v>62.136604413543573</v>
      </c>
      <c r="CY89" s="44">
        <f t="shared" ref="CY89:CY120" si="49">(CX89*$BS$44)-CX89</f>
        <v>24.854641765417419</v>
      </c>
      <c r="CZ89" s="46">
        <f t="shared" ref="CZ89:CZ120" si="50">CU89-CW89+CX89+CY89</f>
        <v>649.30382389027284</v>
      </c>
      <c r="DA89" s="46">
        <f t="shared" si="35"/>
        <v>10.486322446243889</v>
      </c>
      <c r="DB89" s="44">
        <f t="shared" ref="DB89:DB120" si="51">IF(DB88&lt;2,0,CV89-CX89+CW89)</f>
        <v>817.54021918190381</v>
      </c>
      <c r="DC89" s="46">
        <f t="shared" ref="DC89:DC120" si="52">DB89-CV89</f>
        <v>14.368319319173565</v>
      </c>
      <c r="DD89" s="47">
        <f t="shared" ref="DD89:DD121" si="53">(CN89+CX89*12)*0.025</f>
        <v>34.611418860163795</v>
      </c>
      <c r="DE89" s="46">
        <f t="shared" ref="DE89:DE120" si="54">CZ89+DB89-DD89</f>
        <v>1432.2326242120128</v>
      </c>
      <c r="DF89" s="47">
        <f t="shared" ref="DF89" si="55">DD89</f>
        <v>34.611418860163795</v>
      </c>
      <c r="DG89" s="48" t="e">
        <f t="shared" si="42"/>
        <v>#N/A</v>
      </c>
      <c r="DH89" s="49"/>
      <c r="DI89" s="50" t="str">
        <f t="shared" si="30"/>
        <v/>
      </c>
      <c r="DJ89" s="51">
        <f t="shared" si="22"/>
        <v>1.722310576124042E-2</v>
      </c>
      <c r="DK89" s="67"/>
      <c r="DL89" s="52">
        <v>32</v>
      </c>
      <c r="DM89" s="4"/>
      <c r="DN89" s="4">
        <f>$S$5</f>
        <v>0</v>
      </c>
      <c r="DO89" s="85"/>
      <c r="DP89" s="4"/>
      <c r="DQ89" s="4"/>
      <c r="DR89" s="18" t="e">
        <f t="shared" si="40"/>
        <v>#N/A</v>
      </c>
      <c r="DS89" s="54">
        <v>5</v>
      </c>
      <c r="DT89" s="55">
        <f t="shared" ref="DT89:DT120" si="56">DS89*4500</f>
        <v>22500</v>
      </c>
      <c r="DU89" s="54">
        <v>20</v>
      </c>
      <c r="DV89" s="54">
        <f t="shared" ref="DV89:DV120" si="57">DU89*1800</f>
        <v>36000</v>
      </c>
      <c r="DW89" s="56">
        <f t="shared" ref="DW89:DW120" si="58">5*LN(DV89/DT89)+6</f>
        <v>8.3500181462286776</v>
      </c>
      <c r="DX89" s="57">
        <f t="shared" si="23"/>
        <v>1.8000000000000016</v>
      </c>
      <c r="DY89" s="58">
        <f t="shared" si="24"/>
        <v>8100.0000000000073</v>
      </c>
      <c r="DZ89" s="65">
        <f t="shared" si="25"/>
        <v>13.279999999999973</v>
      </c>
      <c r="EA89" s="65">
        <f t="shared" si="26"/>
        <v>1960</v>
      </c>
      <c r="EB89" s="58">
        <f t="shared" si="31"/>
        <v>26028.799999999945</v>
      </c>
      <c r="EC89" s="58">
        <f t="shared" ref="EC89:EC110" si="59">IF(DY89=0,NA(),EB89/DY89)</f>
        <v>3.2134320987654226</v>
      </c>
      <c r="ED89" s="57">
        <f t="shared" si="27"/>
        <v>13.436697778061587</v>
      </c>
      <c r="EE89" s="60" t="s">
        <v>44</v>
      </c>
      <c r="EF89" s="57"/>
      <c r="EG89" s="83">
        <v>46300</v>
      </c>
    </row>
    <row r="90" spans="65:137" ht="15">
      <c r="BM90" t="str">
        <f t="shared" si="32"/>
        <v/>
      </c>
      <c r="CI90" s="16">
        <v>46301</v>
      </c>
      <c r="CJ90" s="46">
        <v>21</v>
      </c>
      <c r="CK90" s="84">
        <f>X39</f>
        <v>0</v>
      </c>
      <c r="CL90" s="46">
        <f t="shared" si="41"/>
        <v>1456.9477613145664</v>
      </c>
      <c r="CM90" s="39">
        <f t="shared" si="47"/>
        <v>8.3500181462286776</v>
      </c>
      <c r="CN90" s="40">
        <f t="shared" ref="CN90:CN122" si="60">CZ89</f>
        <v>649.30382389027284</v>
      </c>
      <c r="CO90" s="4">
        <f t="shared" si="36"/>
        <v>0</v>
      </c>
      <c r="CP90" s="62">
        <f t="shared" si="37"/>
        <v>0</v>
      </c>
      <c r="CQ90" s="66" t="str">
        <f t="shared" si="38"/>
        <v/>
      </c>
      <c r="CR90" s="66" t="str">
        <f t="shared" si="39"/>
        <v/>
      </c>
      <c r="CS90" s="66" t="str">
        <f t="shared" si="43"/>
        <v/>
      </c>
      <c r="CT90" s="66" t="str">
        <f t="shared" si="44"/>
        <v/>
      </c>
      <c r="CU90" s="43">
        <f t="shared" si="33"/>
        <v>649.30382389027284</v>
      </c>
      <c r="CV90" s="44">
        <f t="shared" ref="CV90:CV122" si="61">DB89</f>
        <v>817.54021918190381</v>
      </c>
      <c r="CW90" s="44">
        <f t="shared" si="48"/>
        <v>77.760768003065209</v>
      </c>
      <c r="CX90" s="44">
        <f t="shared" si="34"/>
        <v>63.3631383964657</v>
      </c>
      <c r="CY90" s="44">
        <f t="shared" si="49"/>
        <v>25.345255358586272</v>
      </c>
      <c r="CZ90" s="46">
        <f t="shared" si="50"/>
        <v>660.25144964225967</v>
      </c>
      <c r="DA90" s="46">
        <f t="shared" si="35"/>
        <v>10.947625751986834</v>
      </c>
      <c r="DB90" s="44">
        <f t="shared" si="51"/>
        <v>831.93784878850329</v>
      </c>
      <c r="DC90" s="46">
        <f t="shared" si="52"/>
        <v>14.39762960659948</v>
      </c>
      <c r="DD90" s="47">
        <f t="shared" si="53"/>
        <v>35.241537116196533</v>
      </c>
      <c r="DE90" s="46">
        <f t="shared" si="54"/>
        <v>1456.9477613145664</v>
      </c>
      <c r="DF90" s="47"/>
      <c r="DG90" s="48" t="e">
        <f t="shared" si="42"/>
        <v>#N/A</v>
      </c>
      <c r="DH90" s="49"/>
      <c r="DI90" s="50" t="str">
        <f t="shared" si="30"/>
        <v/>
      </c>
      <c r="DJ90" s="51">
        <f t="shared" ref="DJ90:DJ121" si="62">(CL90-CL89)/CL89</f>
        <v>1.7256370707343316E-2</v>
      </c>
      <c r="DK90" s="38"/>
      <c r="DL90" s="52">
        <v>33</v>
      </c>
      <c r="DM90" s="4">
        <f>$S$5</f>
        <v>0</v>
      </c>
      <c r="DN90" s="4"/>
      <c r="DO90" s="4"/>
      <c r="DP90" s="4"/>
      <c r="DQ90" s="85"/>
      <c r="DR90" s="18" t="e">
        <f t="shared" si="40"/>
        <v>#N/A</v>
      </c>
      <c r="DS90" s="54">
        <v>5</v>
      </c>
      <c r="DT90" s="55">
        <f t="shared" si="56"/>
        <v>22500</v>
      </c>
      <c r="DU90" s="54">
        <v>20</v>
      </c>
      <c r="DV90" s="54">
        <f t="shared" si="57"/>
        <v>36000</v>
      </c>
      <c r="DW90" s="56">
        <f t="shared" si="58"/>
        <v>8.3500181462286776</v>
      </c>
      <c r="DX90" s="57">
        <f t="shared" ref="DX90:DX106" si="63">DX89-0.1</f>
        <v>1.7000000000000015</v>
      </c>
      <c r="DY90" s="58">
        <f t="shared" ref="DY90:DY121" si="64">DX90*4500</f>
        <v>7650.0000000000064</v>
      </c>
      <c r="DZ90" s="65">
        <f t="shared" si="25"/>
        <v>13.069999999999972</v>
      </c>
      <c r="EA90" s="65">
        <f t="shared" ref="EA90:EA122" si="65">EA89+5</f>
        <v>1965</v>
      </c>
      <c r="EB90" s="58">
        <f t="shared" si="31"/>
        <v>25682.549999999945</v>
      </c>
      <c r="EC90" s="58">
        <f t="shared" si="59"/>
        <v>3.3571960784313624</v>
      </c>
      <c r="ED90" s="57">
        <f t="shared" ref="ED90:ED109" si="66">5*LN(EB90/DY90)+7.6</f>
        <v>13.655530625594539</v>
      </c>
      <c r="EE90" s="60" t="s">
        <v>44</v>
      </c>
      <c r="EF90" s="57"/>
      <c r="EG90" s="83">
        <v>46301</v>
      </c>
    </row>
    <row r="91" spans="65:137" ht="15">
      <c r="BM91" t="str">
        <f t="shared" si="32"/>
        <v/>
      </c>
      <c r="CI91" s="16">
        <v>46302</v>
      </c>
      <c r="CJ91" s="46">
        <v>22</v>
      </c>
      <c r="CK91" s="84">
        <f>Y39</f>
        <v>0</v>
      </c>
      <c r="CL91" s="46">
        <f t="shared" si="41"/>
        <v>1482.1456728885114</v>
      </c>
      <c r="CM91" s="39">
        <f t="shared" si="47"/>
        <v>8.3500181462286776</v>
      </c>
      <c r="CN91" s="40">
        <f t="shared" si="60"/>
        <v>660.25144964225967</v>
      </c>
      <c r="CO91" s="4">
        <f t="shared" si="36"/>
        <v>0</v>
      </c>
      <c r="CP91" s="62">
        <f t="shared" si="37"/>
        <v>0</v>
      </c>
      <c r="CQ91" s="66" t="str">
        <f t="shared" si="38"/>
        <v/>
      </c>
      <c r="CR91" s="66" t="str">
        <f t="shared" si="39"/>
        <v/>
      </c>
      <c r="CS91" s="66" t="str">
        <f t="shared" si="43"/>
        <v/>
      </c>
      <c r="CT91" s="66" t="str">
        <f t="shared" si="44"/>
        <v/>
      </c>
      <c r="CU91" s="43">
        <f t="shared" si="33"/>
        <v>660.25144964225967</v>
      </c>
      <c r="CV91" s="44">
        <f t="shared" si="61"/>
        <v>831.93784878850329</v>
      </c>
      <c r="CW91" s="44">
        <f t="shared" si="48"/>
        <v>79.071858058232507</v>
      </c>
      <c r="CX91" s="44">
        <f t="shared" si="34"/>
        <v>64.626606988048621</v>
      </c>
      <c r="CY91" s="44">
        <f t="shared" si="49"/>
        <v>25.850642795219443</v>
      </c>
      <c r="CZ91" s="46">
        <f t="shared" si="50"/>
        <v>671.65684136729521</v>
      </c>
      <c r="DA91" s="46">
        <f t="shared" si="35"/>
        <v>11.405391725035543</v>
      </c>
      <c r="DB91" s="44">
        <f t="shared" si="51"/>
        <v>846.38309985868716</v>
      </c>
      <c r="DC91" s="46">
        <f t="shared" si="52"/>
        <v>14.445251070183872</v>
      </c>
      <c r="DD91" s="47">
        <f t="shared" si="53"/>
        <v>35.894268337471082</v>
      </c>
      <c r="DE91" s="46">
        <f t="shared" si="54"/>
        <v>1482.1456728885114</v>
      </c>
      <c r="DF91" s="47">
        <f t="shared" ref="DF91" si="67">DD91</f>
        <v>35.894268337471082</v>
      </c>
      <c r="DG91" s="48" t="e">
        <f t="shared" si="42"/>
        <v>#N/A</v>
      </c>
      <c r="DH91" s="49"/>
      <c r="DI91" s="50" t="str">
        <f t="shared" si="30"/>
        <v/>
      </c>
      <c r="DJ91" s="51">
        <f t="shared" si="62"/>
        <v>1.7295000028833975E-2</v>
      </c>
      <c r="DK91" s="67"/>
      <c r="DL91" s="52">
        <v>34</v>
      </c>
      <c r="DM91" s="4"/>
      <c r="DN91" s="4"/>
      <c r="DO91" s="4">
        <f>$S$5</f>
        <v>0</v>
      </c>
      <c r="DP91" s="4"/>
      <c r="DQ91" s="4"/>
      <c r="DR91" s="18" t="e">
        <f t="shared" si="40"/>
        <v>#N/A</v>
      </c>
      <c r="DS91" s="54">
        <v>5</v>
      </c>
      <c r="DT91" s="55">
        <f t="shared" si="56"/>
        <v>22500</v>
      </c>
      <c r="DU91" s="54">
        <v>20</v>
      </c>
      <c r="DV91" s="54">
        <f t="shared" si="57"/>
        <v>36000</v>
      </c>
      <c r="DW91" s="56">
        <f t="shared" si="58"/>
        <v>8.3500181462286776</v>
      </c>
      <c r="DX91" s="57">
        <f t="shared" si="63"/>
        <v>1.6000000000000014</v>
      </c>
      <c r="DY91" s="58">
        <f t="shared" si="64"/>
        <v>7200.0000000000064</v>
      </c>
      <c r="DZ91" s="65">
        <f t="shared" si="25"/>
        <v>12.859999999999971</v>
      </c>
      <c r="EA91" s="65">
        <f t="shared" si="65"/>
        <v>1970</v>
      </c>
      <c r="EB91" s="58">
        <f t="shared" si="31"/>
        <v>25334.199999999943</v>
      </c>
      <c r="EC91" s="58">
        <f t="shared" si="59"/>
        <v>3.5186388888888778</v>
      </c>
      <c r="ED91" s="57">
        <f t="shared" si="66"/>
        <v>13.890371177686788</v>
      </c>
      <c r="EE91" s="60" t="s">
        <v>44</v>
      </c>
      <c r="EF91" s="57"/>
      <c r="EG91" s="83">
        <v>46302</v>
      </c>
    </row>
    <row r="92" spans="65:137" ht="15">
      <c r="BM92" t="str">
        <f t="shared" si="32"/>
        <v/>
      </c>
      <c r="CI92" s="16">
        <v>46303</v>
      </c>
      <c r="CJ92" s="46">
        <v>23</v>
      </c>
      <c r="CK92" s="84">
        <f>Z39</f>
        <v>0</v>
      </c>
      <c r="CL92" s="46">
        <f t="shared" si="41"/>
        <v>1507.8405058049461</v>
      </c>
      <c r="CM92" s="39">
        <f t="shared" si="47"/>
        <v>8.3500181462286776</v>
      </c>
      <c r="CN92" s="40">
        <f t="shared" si="60"/>
        <v>671.65684136729521</v>
      </c>
      <c r="CO92" s="4">
        <f t="shared" si="36"/>
        <v>0</v>
      </c>
      <c r="CP92" s="62">
        <f t="shared" si="37"/>
        <v>0</v>
      </c>
      <c r="CQ92" s="66" t="str">
        <f t="shared" si="38"/>
        <v/>
      </c>
      <c r="CR92" s="66" t="str">
        <f t="shared" si="39"/>
        <v/>
      </c>
      <c r="CS92" s="66" t="str">
        <f t="shared" si="43"/>
        <v/>
      </c>
      <c r="CT92" s="66" t="str">
        <f t="shared" si="44"/>
        <v/>
      </c>
      <c r="CU92" s="43">
        <f t="shared" si="33"/>
        <v>671.65684136729521</v>
      </c>
      <c r="CV92" s="44">
        <f t="shared" si="61"/>
        <v>846.38309985868716</v>
      </c>
      <c r="CW92" s="44">
        <f t="shared" si="48"/>
        <v>80.437770266481635</v>
      </c>
      <c r="CX92" s="44">
        <f t="shared" si="34"/>
        <v>65.9198561314616</v>
      </c>
      <c r="CY92" s="44">
        <f t="shared" si="49"/>
        <v>26.367942452584629</v>
      </c>
      <c r="CZ92" s="46">
        <f t="shared" si="50"/>
        <v>683.50686968485991</v>
      </c>
      <c r="DA92" s="46">
        <f t="shared" si="35"/>
        <v>11.850028317564693</v>
      </c>
      <c r="DB92" s="44">
        <f t="shared" si="51"/>
        <v>860.90101399370712</v>
      </c>
      <c r="DC92" s="46">
        <f t="shared" si="52"/>
        <v>14.517914135019964</v>
      </c>
      <c r="DD92" s="47">
        <f t="shared" si="53"/>
        <v>36.567377873620863</v>
      </c>
      <c r="DE92" s="46">
        <f t="shared" si="54"/>
        <v>1507.8405058049461</v>
      </c>
      <c r="DF92" s="47"/>
      <c r="DG92" s="48" t="e">
        <f t="shared" si="42"/>
        <v>#N/A</v>
      </c>
      <c r="DH92" s="49"/>
      <c r="DI92" s="50" t="str">
        <f t="shared" ref="DI92:DI129" si="68">IF(CO90&gt;0,SUM(CP90:CR92)/CL90,"")</f>
        <v/>
      </c>
      <c r="DJ92" s="51">
        <f t="shared" si="62"/>
        <v>1.7336239876043227E-2</v>
      </c>
      <c r="DK92" s="67"/>
      <c r="DL92" s="52">
        <v>35</v>
      </c>
      <c r="DM92" s="4"/>
      <c r="DN92" s="4"/>
      <c r="DO92" s="4"/>
      <c r="DP92" s="4"/>
      <c r="DQ92" s="4"/>
      <c r="DR92" s="18" t="e">
        <f t="shared" si="40"/>
        <v>#N/A</v>
      </c>
      <c r="DS92" s="54">
        <v>5</v>
      </c>
      <c r="DT92" s="55">
        <f t="shared" si="56"/>
        <v>22500</v>
      </c>
      <c r="DU92" s="54">
        <v>20</v>
      </c>
      <c r="DV92" s="54">
        <f t="shared" si="57"/>
        <v>36000</v>
      </c>
      <c r="DW92" s="56">
        <f t="shared" si="58"/>
        <v>8.3500181462286776</v>
      </c>
      <c r="DX92" s="57">
        <f t="shared" si="63"/>
        <v>1.5000000000000013</v>
      </c>
      <c r="DY92" s="58">
        <f t="shared" si="64"/>
        <v>6750.0000000000064</v>
      </c>
      <c r="DZ92" s="65">
        <f t="shared" si="25"/>
        <v>12.64999999999997</v>
      </c>
      <c r="EA92" s="65">
        <f t="shared" si="65"/>
        <v>1975</v>
      </c>
      <c r="EB92" s="58">
        <f t="shared" si="31"/>
        <v>24983.749999999942</v>
      </c>
      <c r="EC92" s="58">
        <f t="shared" si="59"/>
        <v>3.7012962962962841</v>
      </c>
      <c r="ED92" s="57">
        <f t="shared" si="66"/>
        <v>14.143415543210864</v>
      </c>
      <c r="EE92" s="60" t="s">
        <v>44</v>
      </c>
      <c r="EF92" s="57"/>
      <c r="EG92" s="83">
        <v>46303</v>
      </c>
    </row>
    <row r="93" spans="65:137" ht="15">
      <c r="BM93" t="str">
        <f t="shared" si="32"/>
        <v/>
      </c>
      <c r="CI93" s="16">
        <v>46304</v>
      </c>
      <c r="CJ93" s="46">
        <v>24</v>
      </c>
      <c r="CK93" s="84">
        <f>AA39</f>
        <v>0</v>
      </c>
      <c r="CL93" s="46">
        <f t="shared" si="41"/>
        <v>1534.0439996334583</v>
      </c>
      <c r="CM93" s="39">
        <f t="shared" si="47"/>
        <v>8.3500181462286776</v>
      </c>
      <c r="CN93" s="40">
        <f t="shared" si="60"/>
        <v>683.50686968485991</v>
      </c>
      <c r="CO93" s="4">
        <f t="shared" si="36"/>
        <v>0</v>
      </c>
      <c r="CP93" s="62">
        <f t="shared" si="37"/>
        <v>0</v>
      </c>
      <c r="CQ93" s="66" t="str">
        <f t="shared" si="38"/>
        <v/>
      </c>
      <c r="CR93" s="66" t="str">
        <f t="shared" si="39"/>
        <v/>
      </c>
      <c r="CS93" s="66" t="str">
        <f t="shared" si="43"/>
        <v/>
      </c>
      <c r="CT93" s="66" t="str">
        <f t="shared" si="44"/>
        <v/>
      </c>
      <c r="CU93" s="43">
        <f t="shared" si="33"/>
        <v>683.50686968485991</v>
      </c>
      <c r="CV93" s="44">
        <f t="shared" si="61"/>
        <v>860.90101399370712</v>
      </c>
      <c r="CW93" s="44">
        <f t="shared" si="48"/>
        <v>81.856932250329152</v>
      </c>
      <c r="CX93" s="44">
        <f t="shared" si="34"/>
        <v>67.237876970127971</v>
      </c>
      <c r="CY93" s="44">
        <f t="shared" si="49"/>
        <v>26.895150788051183</v>
      </c>
      <c r="CZ93" s="46">
        <f t="shared" si="50"/>
        <v>695.78296519270998</v>
      </c>
      <c r="DA93" s="46">
        <f t="shared" si="35"/>
        <v>12.276095507850073</v>
      </c>
      <c r="DB93" s="44">
        <f t="shared" si="51"/>
        <v>875.52006927390823</v>
      </c>
      <c r="DC93" s="46">
        <f t="shared" si="52"/>
        <v>14.61905528020111</v>
      </c>
      <c r="DD93" s="47">
        <f t="shared" si="53"/>
        <v>37.259034833159888</v>
      </c>
      <c r="DE93" s="46">
        <f t="shared" si="54"/>
        <v>1534.0439996334583</v>
      </c>
      <c r="DF93" s="47">
        <f t="shared" ref="DF93" si="69">DD93</f>
        <v>37.259034833159888</v>
      </c>
      <c r="DG93" s="48" t="e">
        <f t="shared" si="42"/>
        <v>#N/A</v>
      </c>
      <c r="DH93" s="49"/>
      <c r="DI93" s="50" t="str">
        <f t="shared" si="68"/>
        <v/>
      </c>
      <c r="DJ93" s="51">
        <f t="shared" si="62"/>
        <v>1.7378160175186202E-2</v>
      </c>
      <c r="DK93" s="38">
        <f>DE93</f>
        <v>1534.0439996334583</v>
      </c>
      <c r="DL93" s="52">
        <v>36</v>
      </c>
      <c r="DM93" s="4"/>
      <c r="DN93" s="4"/>
      <c r="DO93" s="4"/>
      <c r="DP93" s="85"/>
      <c r="DQ93" s="85"/>
      <c r="DR93" s="18" t="e">
        <f t="shared" si="40"/>
        <v>#N/A</v>
      </c>
      <c r="DS93" s="54">
        <v>5</v>
      </c>
      <c r="DT93" s="55">
        <f t="shared" si="56"/>
        <v>22500</v>
      </c>
      <c r="DU93" s="54">
        <v>20</v>
      </c>
      <c r="DV93" s="54">
        <f t="shared" si="57"/>
        <v>36000</v>
      </c>
      <c r="DW93" s="56">
        <f t="shared" si="58"/>
        <v>8.3500181462286776</v>
      </c>
      <c r="DX93" s="57">
        <f t="shared" si="63"/>
        <v>1.4000000000000012</v>
      </c>
      <c r="DY93" s="58">
        <f t="shared" si="64"/>
        <v>6300.0000000000055</v>
      </c>
      <c r="DZ93" s="65">
        <f t="shared" si="25"/>
        <v>12.439999999999969</v>
      </c>
      <c r="EA93" s="65">
        <f t="shared" si="65"/>
        <v>1980</v>
      </c>
      <c r="EB93" s="58">
        <f t="shared" si="31"/>
        <v>24631.199999999939</v>
      </c>
      <c r="EC93" s="58">
        <f t="shared" si="59"/>
        <v>3.9097142857142728</v>
      </c>
      <c r="ED93" s="57">
        <f t="shared" si="66"/>
        <v>14.417321493099934</v>
      </c>
      <c r="EE93" s="60" t="s">
        <v>44</v>
      </c>
      <c r="EF93" s="57"/>
      <c r="EG93" s="83">
        <v>46304</v>
      </c>
    </row>
    <row r="94" spans="65:137" ht="15">
      <c r="BM94" t="str">
        <f t="shared" si="32"/>
        <v/>
      </c>
      <c r="CI94" s="16">
        <v>46305</v>
      </c>
      <c r="CJ94" s="46">
        <v>25</v>
      </c>
      <c r="CK94" s="84">
        <f>AB39</f>
        <v>0</v>
      </c>
      <c r="CL94" s="46">
        <f t="shared" si="41"/>
        <v>1560.7661879733273</v>
      </c>
      <c r="CM94" s="39">
        <f t="shared" si="47"/>
        <v>8.3500181462286776</v>
      </c>
      <c r="CN94" s="40">
        <f t="shared" si="60"/>
        <v>695.78296519270998</v>
      </c>
      <c r="CO94" s="4">
        <f t="shared" si="36"/>
        <v>0</v>
      </c>
      <c r="CP94" s="62">
        <f t="shared" si="37"/>
        <v>0</v>
      </c>
      <c r="CQ94" s="66" t="str">
        <f t="shared" si="38"/>
        <v/>
      </c>
      <c r="CR94" s="66" t="str">
        <f t="shared" si="39"/>
        <v/>
      </c>
      <c r="CS94" s="66" t="str">
        <f t="shared" si="43"/>
        <v/>
      </c>
      <c r="CT94" s="66" t="str">
        <f t="shared" si="44"/>
        <v/>
      </c>
      <c r="CU94" s="43">
        <f t="shared" si="33"/>
        <v>695.78296519270998</v>
      </c>
      <c r="CV94" s="44">
        <f t="shared" si="61"/>
        <v>875.52006927390823</v>
      </c>
      <c r="CW94" s="44">
        <f t="shared" si="48"/>
        <v>83.327120134099758</v>
      </c>
      <c r="CX94" s="44">
        <f t="shared" si="34"/>
        <v>68.577276365269128</v>
      </c>
      <c r="CY94" s="44">
        <f t="shared" si="49"/>
        <v>27.43091054610764</v>
      </c>
      <c r="CZ94" s="46">
        <f t="shared" si="50"/>
        <v>708.46403196998688</v>
      </c>
      <c r="DA94" s="46">
        <f t="shared" si="35"/>
        <v>12.681066777276897</v>
      </c>
      <c r="DB94" s="44">
        <f t="shared" si="51"/>
        <v>890.26991304273895</v>
      </c>
      <c r="DC94" s="46">
        <f t="shared" si="52"/>
        <v>14.749843768830715</v>
      </c>
      <c r="DD94" s="47">
        <f t="shared" si="53"/>
        <v>37.967757039398485</v>
      </c>
      <c r="DE94" s="46">
        <f t="shared" si="54"/>
        <v>1560.7661879733273</v>
      </c>
      <c r="DF94" s="47"/>
      <c r="DG94" s="48" t="e">
        <f t="shared" si="42"/>
        <v>#N/A</v>
      </c>
      <c r="DH94" s="49"/>
      <c r="DI94" s="50" t="str">
        <f t="shared" si="68"/>
        <v/>
      </c>
      <c r="DJ94" s="51">
        <f t="shared" si="62"/>
        <v>1.7419440606823523E-2</v>
      </c>
      <c r="DK94" s="67"/>
      <c r="DL94" s="52">
        <v>37</v>
      </c>
      <c r="DM94" s="4">
        <f>$S$5</f>
        <v>0</v>
      </c>
      <c r="DN94" s="4">
        <f>$S$5</f>
        <v>0</v>
      </c>
      <c r="DO94" s="4"/>
      <c r="DP94" s="4"/>
      <c r="DQ94" s="4"/>
      <c r="DR94" s="18" t="e">
        <f t="shared" si="40"/>
        <v>#N/A</v>
      </c>
      <c r="DS94" s="54">
        <v>5</v>
      </c>
      <c r="DT94" s="55">
        <f t="shared" si="56"/>
        <v>22500</v>
      </c>
      <c r="DU94" s="54">
        <v>20</v>
      </c>
      <c r="DV94" s="54">
        <f t="shared" si="57"/>
        <v>36000</v>
      </c>
      <c r="DW94" s="56">
        <f t="shared" si="58"/>
        <v>8.3500181462286776</v>
      </c>
      <c r="DX94" s="57">
        <f t="shared" si="63"/>
        <v>1.3000000000000012</v>
      </c>
      <c r="DY94" s="58">
        <f t="shared" si="64"/>
        <v>5850.0000000000055</v>
      </c>
      <c r="DZ94" s="65">
        <f t="shared" si="25"/>
        <v>12.229999999999968</v>
      </c>
      <c r="EA94" s="65">
        <f t="shared" si="65"/>
        <v>1985</v>
      </c>
      <c r="EB94" s="58">
        <f t="shared" si="31"/>
        <v>24276.549999999937</v>
      </c>
      <c r="EC94" s="58">
        <f t="shared" si="59"/>
        <v>4.1498376068375924</v>
      </c>
      <c r="ED94" s="57">
        <f t="shared" si="66"/>
        <v>14.715346012972329</v>
      </c>
      <c r="EE94" s="60" t="s">
        <v>44</v>
      </c>
      <c r="EF94" s="57"/>
      <c r="EG94" s="83">
        <v>46305</v>
      </c>
    </row>
    <row r="95" spans="65:137" ht="15">
      <c r="BM95" t="str">
        <f t="shared" si="32"/>
        <v/>
      </c>
      <c r="CI95" s="16">
        <v>46306</v>
      </c>
      <c r="CJ95" s="46">
        <v>26</v>
      </c>
      <c r="CK95" s="84">
        <f>AC39</f>
        <v>0</v>
      </c>
      <c r="CL95" s="46">
        <f t="shared" si="41"/>
        <v>1587.9989480374384</v>
      </c>
      <c r="CM95" s="39">
        <f t="shared" si="47"/>
        <v>8.3500181462286776</v>
      </c>
      <c r="CN95" s="40">
        <f t="shared" si="60"/>
        <v>708.46403196998688</v>
      </c>
      <c r="CO95" s="4">
        <f t="shared" si="36"/>
        <v>0</v>
      </c>
      <c r="CP95" s="62">
        <f t="shared" si="37"/>
        <v>0</v>
      </c>
      <c r="CQ95" s="66" t="str">
        <f t="shared" si="38"/>
        <v/>
      </c>
      <c r="CR95" s="66" t="str">
        <f t="shared" si="39"/>
        <v/>
      </c>
      <c r="CS95" s="66" t="str">
        <f t="shared" si="43"/>
        <v/>
      </c>
      <c r="CT95" s="66" t="str">
        <f t="shared" si="44"/>
        <v/>
      </c>
      <c r="CU95" s="43">
        <f t="shared" si="33"/>
        <v>708.46403196998688</v>
      </c>
      <c r="CV95" s="44">
        <f t="shared" si="61"/>
        <v>890.26991304273895</v>
      </c>
      <c r="CW95" s="44">
        <f t="shared" si="48"/>
        <v>84.845807465696083</v>
      </c>
      <c r="CX95" s="44">
        <f t="shared" si="34"/>
        <v>69.766038239622546</v>
      </c>
      <c r="CY95" s="44">
        <f t="shared" si="49"/>
        <v>27.906415295849015</v>
      </c>
      <c r="CZ95" s="46">
        <f t="shared" si="50"/>
        <v>721.29067803976227</v>
      </c>
      <c r="DA95" s="46">
        <f t="shared" si="35"/>
        <v>12.826646069775393</v>
      </c>
      <c r="DB95" s="44">
        <f t="shared" si="51"/>
        <v>905.34968226881256</v>
      </c>
      <c r="DC95" s="46">
        <f t="shared" si="52"/>
        <v>15.079769226073608</v>
      </c>
      <c r="DD95" s="47">
        <f t="shared" si="53"/>
        <v>38.641412271136439</v>
      </c>
      <c r="DE95" s="46">
        <f t="shared" si="54"/>
        <v>1587.9989480374384</v>
      </c>
      <c r="DF95" s="47">
        <f t="shared" ref="DF95" si="70">DD95</f>
        <v>38.641412271136439</v>
      </c>
      <c r="DG95" s="48" t="e">
        <f t="shared" si="42"/>
        <v>#N/A</v>
      </c>
      <c r="DH95" s="49"/>
      <c r="DI95" s="50" t="str">
        <f t="shared" si="68"/>
        <v/>
      </c>
      <c r="DJ95" s="51">
        <f t="shared" si="62"/>
        <v>1.7448327798203465E-2</v>
      </c>
      <c r="DK95" s="67"/>
      <c r="DL95" s="52">
        <v>38</v>
      </c>
      <c r="DM95" s="4"/>
      <c r="DN95" s="4"/>
      <c r="DO95" s="4"/>
      <c r="DP95" s="85"/>
      <c r="DQ95" s="4"/>
      <c r="DR95" s="18" t="e">
        <f t="shared" si="40"/>
        <v>#N/A</v>
      </c>
      <c r="DS95" s="54">
        <v>5</v>
      </c>
      <c r="DT95" s="55">
        <f t="shared" si="56"/>
        <v>22500</v>
      </c>
      <c r="DU95" s="54">
        <v>20</v>
      </c>
      <c r="DV95" s="54">
        <f t="shared" si="57"/>
        <v>36000</v>
      </c>
      <c r="DW95" s="56">
        <f t="shared" si="58"/>
        <v>8.3500181462286776</v>
      </c>
      <c r="DX95" s="57">
        <f t="shared" si="63"/>
        <v>1.2000000000000011</v>
      </c>
      <c r="DY95" s="58">
        <f t="shared" si="64"/>
        <v>5400.0000000000045</v>
      </c>
      <c r="DZ95" s="65">
        <f t="shared" si="25"/>
        <v>12.019999999999968</v>
      </c>
      <c r="EA95" s="65">
        <f t="shared" si="65"/>
        <v>1990</v>
      </c>
      <c r="EB95" s="58">
        <f t="shared" si="31"/>
        <v>23919.799999999934</v>
      </c>
      <c r="EC95" s="58">
        <f t="shared" si="59"/>
        <v>4.4295925925925763</v>
      </c>
      <c r="ED95" s="57">
        <f t="shared" si="66"/>
        <v>15.041538071366151</v>
      </c>
      <c r="EE95" s="60" t="s">
        <v>44</v>
      </c>
      <c r="EF95" s="57"/>
      <c r="EG95" s="83">
        <v>46306</v>
      </c>
    </row>
    <row r="96" spans="65:137" ht="15">
      <c r="BM96" t="str">
        <f t="shared" si="32"/>
        <v/>
      </c>
      <c r="CI96" s="16">
        <v>46307</v>
      </c>
      <c r="CJ96" s="46">
        <v>27</v>
      </c>
      <c r="CK96" s="84">
        <f>AD39</f>
        <v>0</v>
      </c>
      <c r="CL96" s="46">
        <f t="shared" si="41"/>
        <v>1615.6956315493208</v>
      </c>
      <c r="CM96" s="39">
        <f t="shared" si="47"/>
        <v>8.3500181462286776</v>
      </c>
      <c r="CN96" s="40">
        <f t="shared" si="60"/>
        <v>721.29067803976227</v>
      </c>
      <c r="CO96" s="4">
        <f t="shared" si="36"/>
        <v>0</v>
      </c>
      <c r="CP96" s="62">
        <f t="shared" si="37"/>
        <v>0</v>
      </c>
      <c r="CQ96" s="66" t="str">
        <f t="shared" si="38"/>
        <v/>
      </c>
      <c r="CR96" s="66" t="str">
        <f t="shared" si="39"/>
        <v/>
      </c>
      <c r="CS96" s="66" t="str">
        <f t="shared" si="43"/>
        <v/>
      </c>
      <c r="CT96" s="66" t="str">
        <f t="shared" si="44"/>
        <v/>
      </c>
      <c r="CU96" s="43">
        <f t="shared" si="33"/>
        <v>721.29067803976227</v>
      </c>
      <c r="CV96" s="44">
        <f t="shared" si="61"/>
        <v>905.34968226881256</v>
      </c>
      <c r="CW96" s="44">
        <f t="shared" si="48"/>
        <v>86.381929405211693</v>
      </c>
      <c r="CX96" s="44">
        <f t="shared" si="34"/>
        <v>70.875381917399153</v>
      </c>
      <c r="CY96" s="44">
        <f t="shared" si="49"/>
        <v>28.350152766959653</v>
      </c>
      <c r="CZ96" s="46">
        <f t="shared" si="50"/>
        <v>734.13428331890941</v>
      </c>
      <c r="DA96" s="46">
        <f t="shared" si="35"/>
        <v>12.843605279147141</v>
      </c>
      <c r="DB96" s="44">
        <f t="shared" si="51"/>
        <v>920.85622975662511</v>
      </c>
      <c r="DC96" s="46">
        <f t="shared" si="52"/>
        <v>15.506547487812554</v>
      </c>
      <c r="DD96" s="47">
        <f t="shared" si="53"/>
        <v>39.294881526213807</v>
      </c>
      <c r="DE96" s="46">
        <f t="shared" si="54"/>
        <v>1615.6956315493208</v>
      </c>
      <c r="DF96" s="47"/>
      <c r="DG96" s="48" t="e">
        <f t="shared" si="42"/>
        <v>#N/A</v>
      </c>
      <c r="DH96" s="49"/>
      <c r="DI96" s="50" t="str">
        <f t="shared" si="68"/>
        <v/>
      </c>
      <c r="DJ96" s="51">
        <f t="shared" si="62"/>
        <v>1.7441248022306254E-2</v>
      </c>
      <c r="DK96" s="38"/>
      <c r="DL96" s="52">
        <v>39</v>
      </c>
      <c r="DM96" s="4"/>
      <c r="DN96" s="4"/>
      <c r="DO96" s="85"/>
      <c r="DP96" s="4"/>
      <c r="DQ96" s="85"/>
      <c r="DR96" s="18" t="e">
        <f t="shared" si="40"/>
        <v>#N/A</v>
      </c>
      <c r="DS96" s="54">
        <v>5</v>
      </c>
      <c r="DT96" s="55">
        <f t="shared" si="56"/>
        <v>22500</v>
      </c>
      <c r="DU96" s="54">
        <v>20</v>
      </c>
      <c r="DV96" s="54">
        <f t="shared" si="57"/>
        <v>36000</v>
      </c>
      <c r="DW96" s="56">
        <f t="shared" si="58"/>
        <v>8.3500181462286776</v>
      </c>
      <c r="DX96" s="57">
        <f t="shared" si="63"/>
        <v>1.100000000000001</v>
      </c>
      <c r="DY96" s="58">
        <f t="shared" si="64"/>
        <v>4950.0000000000045</v>
      </c>
      <c r="DZ96" s="65">
        <f t="shared" si="25"/>
        <v>11.809999999999967</v>
      </c>
      <c r="EA96" s="65">
        <f t="shared" si="65"/>
        <v>1995</v>
      </c>
      <c r="EB96" s="58">
        <f t="shared" si="31"/>
        <v>23560.949999999935</v>
      </c>
      <c r="EC96" s="58">
        <f t="shared" si="59"/>
        <v>4.7597878787878614</v>
      </c>
      <c r="ED96" s="57">
        <f t="shared" si="66"/>
        <v>15.401015519852475</v>
      </c>
      <c r="EE96" s="60" t="s">
        <v>44</v>
      </c>
      <c r="EF96" s="57"/>
      <c r="EG96" s="83">
        <v>46307</v>
      </c>
    </row>
    <row r="97" spans="65:137" ht="15">
      <c r="BM97" t="str">
        <f t="shared" si="32"/>
        <v/>
      </c>
      <c r="CI97" s="16">
        <v>46308</v>
      </c>
      <c r="CJ97" s="46">
        <v>28</v>
      </c>
      <c r="CK97" s="84">
        <f>AE39</f>
        <v>0</v>
      </c>
      <c r="CL97" s="46">
        <f t="shared" si="41"/>
        <v>1643.8326679847703</v>
      </c>
      <c r="CM97" s="39">
        <f t="shared" si="47"/>
        <v>8.3500181462286776</v>
      </c>
      <c r="CN97" s="40">
        <f t="shared" si="60"/>
        <v>734.13428331890941</v>
      </c>
      <c r="CO97" s="4">
        <f t="shared" si="36"/>
        <v>0</v>
      </c>
      <c r="CP97" s="62">
        <f t="shared" si="37"/>
        <v>0</v>
      </c>
      <c r="CQ97" s="66" t="str">
        <f t="shared" si="38"/>
        <v/>
      </c>
      <c r="CR97" s="66" t="str">
        <f t="shared" si="39"/>
        <v/>
      </c>
      <c r="CS97" s="66" t="str">
        <f t="shared" si="43"/>
        <v/>
      </c>
      <c r="CT97" s="66" t="str">
        <f t="shared" si="44"/>
        <v/>
      </c>
      <c r="CU97" s="43">
        <f t="shared" si="33"/>
        <v>734.13428331890941</v>
      </c>
      <c r="CV97" s="44">
        <f t="shared" si="61"/>
        <v>920.85622975662511</v>
      </c>
      <c r="CW97" s="44">
        <f t="shared" si="48"/>
        <v>87.920082383351996</v>
      </c>
      <c r="CX97" s="44">
        <f t="shared" si="34"/>
        <v>71.955119922083639</v>
      </c>
      <c r="CY97" s="44">
        <f t="shared" si="49"/>
        <v>28.782047968833453</v>
      </c>
      <c r="CZ97" s="46">
        <f t="shared" si="50"/>
        <v>746.95136882647455</v>
      </c>
      <c r="DA97" s="46">
        <f t="shared" si="35"/>
        <v>12.817085507565139</v>
      </c>
      <c r="DB97" s="44">
        <f t="shared" si="51"/>
        <v>936.82119221789344</v>
      </c>
      <c r="DC97" s="46">
        <f t="shared" si="52"/>
        <v>15.964962461268328</v>
      </c>
      <c r="DD97" s="47">
        <f t="shared" si="53"/>
        <v>39.939893059597836</v>
      </c>
      <c r="DE97" s="46">
        <f t="shared" si="54"/>
        <v>1643.8326679847703</v>
      </c>
      <c r="DF97" s="47">
        <f t="shared" ref="DF97" si="71">DD97</f>
        <v>39.939893059597836</v>
      </c>
      <c r="DG97" s="48" t="e">
        <f t="shared" si="42"/>
        <v>#N/A</v>
      </c>
      <c r="DH97" s="49">
        <f>IF($S$3="F",315*CZ97/EB97,315*CZ97/DV97)</f>
        <v>6.5358244772316523</v>
      </c>
      <c r="DI97" s="50" t="str">
        <f t="shared" si="68"/>
        <v/>
      </c>
      <c r="DJ97" s="51">
        <f t="shared" si="62"/>
        <v>1.7414812472116677E-2</v>
      </c>
      <c r="DK97" s="67"/>
      <c r="DL97" s="52">
        <v>40</v>
      </c>
      <c r="DM97" s="4"/>
      <c r="DN97" s="4"/>
      <c r="DO97" s="4"/>
      <c r="DP97" s="4"/>
      <c r="DQ97" s="85"/>
      <c r="DR97" s="18" t="e">
        <f t="shared" si="40"/>
        <v>#N/A</v>
      </c>
      <c r="DS97" s="54">
        <v>5</v>
      </c>
      <c r="DT97" s="55">
        <f t="shared" si="56"/>
        <v>22500</v>
      </c>
      <c r="DU97" s="54">
        <v>20</v>
      </c>
      <c r="DV97" s="54">
        <f t="shared" si="57"/>
        <v>36000</v>
      </c>
      <c r="DW97" s="56">
        <f t="shared" si="58"/>
        <v>8.3500181462286776</v>
      </c>
      <c r="DX97" s="57">
        <f t="shared" si="63"/>
        <v>1.0000000000000009</v>
      </c>
      <c r="DY97" s="58">
        <f t="shared" si="64"/>
        <v>4500.0000000000036</v>
      </c>
      <c r="DZ97" s="65">
        <f t="shared" si="25"/>
        <v>11.599999999999966</v>
      </c>
      <c r="EA97" s="65">
        <f t="shared" si="65"/>
        <v>2000</v>
      </c>
      <c r="EB97" s="58">
        <f t="shared" si="31"/>
        <v>23199.999999999931</v>
      </c>
      <c r="EC97" s="58">
        <f t="shared" si="59"/>
        <v>5.1555555555555364</v>
      </c>
      <c r="ED97" s="57">
        <f t="shared" si="66"/>
        <v>15.800374409479932</v>
      </c>
      <c r="EE97" s="60" t="s">
        <v>44</v>
      </c>
      <c r="EF97" s="57"/>
      <c r="EG97" s="83">
        <v>46308</v>
      </c>
    </row>
    <row r="98" spans="65:137" ht="15">
      <c r="BM98" t="str">
        <f t="shared" si="32"/>
        <v/>
      </c>
      <c r="CI98" s="16">
        <v>46309</v>
      </c>
      <c r="CJ98" s="46">
        <v>29</v>
      </c>
      <c r="CK98" s="84">
        <f>AF39</f>
        <v>0</v>
      </c>
      <c r="CL98" s="46">
        <f t="shared" si="41"/>
        <v>1672.4027070980005</v>
      </c>
      <c r="CM98" s="39">
        <f t="shared" si="47"/>
        <v>8.3500181462286776</v>
      </c>
      <c r="CN98" s="40">
        <f t="shared" si="60"/>
        <v>746.95136882647455</v>
      </c>
      <c r="CO98" s="4">
        <f t="shared" si="36"/>
        <v>0</v>
      </c>
      <c r="CP98" s="62">
        <f t="shared" si="37"/>
        <v>0</v>
      </c>
      <c r="CQ98" s="66" t="str">
        <f t="shared" si="38"/>
        <v/>
      </c>
      <c r="CR98" s="66" t="str">
        <f t="shared" si="39"/>
        <v/>
      </c>
      <c r="CS98" s="66" t="str">
        <f t="shared" si="43"/>
        <v/>
      </c>
      <c r="CT98" s="66" t="str">
        <f t="shared" si="44"/>
        <v/>
      </c>
      <c r="CU98" s="43">
        <f t="shared" si="33"/>
        <v>746.95136882647455</v>
      </c>
      <c r="CV98" s="44">
        <f t="shared" si="61"/>
        <v>936.82119221789344</v>
      </c>
      <c r="CW98" s="44">
        <f t="shared" si="48"/>
        <v>89.455059347845662</v>
      </c>
      <c r="CX98" s="44">
        <f t="shared" si="34"/>
        <v>73.03930274294305</v>
      </c>
      <c r="CY98" s="44">
        <f t="shared" si="49"/>
        <v>29.215721097177209</v>
      </c>
      <c r="CZ98" s="46">
        <f t="shared" si="50"/>
        <v>759.75133331874918</v>
      </c>
      <c r="DA98" s="46">
        <f t="shared" si="35"/>
        <v>12.799964492274626</v>
      </c>
      <c r="DB98" s="44">
        <f t="shared" si="51"/>
        <v>953.23694882279608</v>
      </c>
      <c r="DC98" s="46">
        <f t="shared" si="52"/>
        <v>16.41575660490264</v>
      </c>
      <c r="DD98" s="47">
        <f t="shared" si="53"/>
        <v>40.585575043544786</v>
      </c>
      <c r="DE98" s="46">
        <f t="shared" si="54"/>
        <v>1672.4027070980005</v>
      </c>
      <c r="DF98" s="47"/>
      <c r="DG98" s="48" t="e">
        <f t="shared" si="42"/>
        <v>#N/A</v>
      </c>
      <c r="DH98" s="49"/>
      <c r="DI98" s="50" t="str">
        <f t="shared" si="68"/>
        <v/>
      </c>
      <c r="DJ98" s="51">
        <f t="shared" si="62"/>
        <v>1.738013830097147E-2</v>
      </c>
      <c r="DK98" s="67"/>
      <c r="DL98" s="52">
        <v>41</v>
      </c>
      <c r="DM98" s="4">
        <f>$S$5</f>
        <v>0</v>
      </c>
      <c r="DN98" s="4"/>
      <c r="DO98" s="4">
        <f>$S$5</f>
        <v>0</v>
      </c>
      <c r="DP98" s="4">
        <f>$S$5</f>
        <v>0</v>
      </c>
      <c r="DQ98" s="4">
        <f>$S$5</f>
        <v>0</v>
      </c>
      <c r="DR98" s="18" t="e">
        <f t="shared" si="40"/>
        <v>#N/A</v>
      </c>
      <c r="DS98" s="54">
        <v>5</v>
      </c>
      <c r="DT98" s="55">
        <f t="shared" si="56"/>
        <v>22500</v>
      </c>
      <c r="DU98" s="54">
        <v>20</v>
      </c>
      <c r="DV98" s="54">
        <f t="shared" si="57"/>
        <v>36000</v>
      </c>
      <c r="DW98" s="56">
        <f t="shared" si="58"/>
        <v>8.3500181462286776</v>
      </c>
      <c r="DX98" s="57">
        <f t="shared" si="63"/>
        <v>0.90000000000000091</v>
      </c>
      <c r="DY98" s="58">
        <f t="shared" si="64"/>
        <v>4050.0000000000041</v>
      </c>
      <c r="DZ98" s="65">
        <f t="shared" si="25"/>
        <v>11.389999999999965</v>
      </c>
      <c r="EA98" s="65">
        <f t="shared" si="65"/>
        <v>2005</v>
      </c>
      <c r="EB98" s="58">
        <f t="shared" si="31"/>
        <v>22836.949999999932</v>
      </c>
      <c r="EC98" s="58">
        <f t="shared" si="59"/>
        <v>5.6387530864197304</v>
      </c>
      <c r="ED98" s="57">
        <f t="shared" si="66"/>
        <v>16.248314785495857</v>
      </c>
      <c r="EE98" s="60" t="s">
        <v>44</v>
      </c>
      <c r="EF98" s="57"/>
      <c r="EG98" s="83">
        <v>46309</v>
      </c>
    </row>
    <row r="99" spans="65:137" ht="15">
      <c r="BM99" t="str">
        <f t="shared" si="32"/>
        <v/>
      </c>
      <c r="CI99" s="16">
        <v>46310</v>
      </c>
      <c r="CJ99" s="46">
        <v>30</v>
      </c>
      <c r="CK99" s="84">
        <f>AG39</f>
        <v>0</v>
      </c>
      <c r="CL99" s="46">
        <f t="shared" si="41"/>
        <v>1701.4095468160906</v>
      </c>
      <c r="CM99" s="39">
        <f t="shared" si="47"/>
        <v>8.3500181462286776</v>
      </c>
      <c r="CN99" s="40">
        <f t="shared" si="60"/>
        <v>759.75133331874918</v>
      </c>
      <c r="CO99" s="4">
        <f t="shared" si="36"/>
        <v>0</v>
      </c>
      <c r="CP99" s="62">
        <f t="shared" si="37"/>
        <v>0</v>
      </c>
      <c r="CQ99" s="66" t="str">
        <f t="shared" si="38"/>
        <v/>
      </c>
      <c r="CR99" s="66" t="str">
        <f t="shared" si="39"/>
        <v/>
      </c>
      <c r="CS99" s="66" t="str">
        <f t="shared" si="43"/>
        <v/>
      </c>
      <c r="CT99" s="66" t="str">
        <f t="shared" si="44"/>
        <v/>
      </c>
      <c r="CU99" s="43">
        <f t="shared" si="33"/>
        <v>759.75133331874918</v>
      </c>
      <c r="CV99" s="44">
        <f t="shared" si="61"/>
        <v>953.23694882279608</v>
      </c>
      <c r="CW99" s="44">
        <f t="shared" si="48"/>
        <v>90.987985895802424</v>
      </c>
      <c r="CX99" s="44">
        <f t="shared" si="34"/>
        <v>74.150480075142568</v>
      </c>
      <c r="CY99" s="44">
        <f t="shared" si="49"/>
        <v>29.660192030057019</v>
      </c>
      <c r="CZ99" s="46">
        <f t="shared" si="50"/>
        <v>772.57401952814632</v>
      </c>
      <c r="DA99" s="46">
        <f t="shared" si="35"/>
        <v>12.822686209397148</v>
      </c>
      <c r="DB99" s="44">
        <f t="shared" si="51"/>
        <v>970.07445464345597</v>
      </c>
      <c r="DC99" s="46">
        <f t="shared" si="52"/>
        <v>16.837505820659885</v>
      </c>
      <c r="DD99" s="47">
        <f t="shared" si="53"/>
        <v>41.2389273555115</v>
      </c>
      <c r="DE99" s="46">
        <f t="shared" si="54"/>
        <v>1701.4095468160906</v>
      </c>
      <c r="DF99" s="47">
        <f t="shared" ref="DF99" si="72">DD99</f>
        <v>41.2389273555115</v>
      </c>
      <c r="DG99" s="48" t="e">
        <f t="shared" si="42"/>
        <v>#N/A</v>
      </c>
      <c r="DH99" s="49"/>
      <c r="DI99" s="50" t="str">
        <f t="shared" si="68"/>
        <v/>
      </c>
      <c r="DJ99" s="51">
        <f t="shared" si="62"/>
        <v>1.7344410885595581E-2</v>
      </c>
      <c r="DK99" s="38">
        <f>DE99</f>
        <v>1701.4095468160906</v>
      </c>
      <c r="DL99" s="52">
        <v>42</v>
      </c>
      <c r="DM99" s="4"/>
      <c r="DN99" s="4">
        <f>$S$5</f>
        <v>0</v>
      </c>
      <c r="DO99" s="4"/>
      <c r="DP99" s="4"/>
      <c r="DQ99" s="4"/>
      <c r="DR99" s="18" t="e">
        <f t="shared" si="40"/>
        <v>#N/A</v>
      </c>
      <c r="DS99" s="54">
        <v>5</v>
      </c>
      <c r="DT99" s="55">
        <f t="shared" si="56"/>
        <v>22500</v>
      </c>
      <c r="DU99" s="54">
        <v>20</v>
      </c>
      <c r="DV99" s="54">
        <f t="shared" si="57"/>
        <v>36000</v>
      </c>
      <c r="DW99" s="56">
        <f t="shared" si="58"/>
        <v>8.3500181462286776</v>
      </c>
      <c r="DX99" s="57">
        <f t="shared" si="63"/>
        <v>0.80000000000000093</v>
      </c>
      <c r="DY99" s="58">
        <f t="shared" si="64"/>
        <v>3600.0000000000041</v>
      </c>
      <c r="DZ99" s="65">
        <f t="shared" si="25"/>
        <v>11.179999999999964</v>
      </c>
      <c r="EA99" s="65">
        <f t="shared" si="65"/>
        <v>2010</v>
      </c>
      <c r="EB99" s="58">
        <f t="shared" si="31"/>
        <v>22471.799999999927</v>
      </c>
      <c r="EC99" s="58">
        <f t="shared" si="59"/>
        <v>6.2421666666666393</v>
      </c>
      <c r="ED99" s="57">
        <f t="shared" si="66"/>
        <v>16.756636721679342</v>
      </c>
      <c r="EE99" s="60" t="s">
        <v>44</v>
      </c>
      <c r="EF99" s="57"/>
      <c r="EG99" s="83">
        <v>46310</v>
      </c>
    </row>
    <row r="100" spans="65:137" ht="15">
      <c r="BM100" t="str">
        <f t="shared" si="32"/>
        <v/>
      </c>
      <c r="CI100" s="16">
        <v>46311</v>
      </c>
      <c r="CJ100" s="46">
        <v>31</v>
      </c>
      <c r="CK100" s="84">
        <f>AH39</f>
        <v>0</v>
      </c>
      <c r="CL100" s="46">
        <f t="shared" si="41"/>
        <v>1730.8644140683898</v>
      </c>
      <c r="CM100" s="39">
        <f t="shared" si="47"/>
        <v>8.3500181462286776</v>
      </c>
      <c r="CN100" s="40">
        <f t="shared" si="60"/>
        <v>772.57401952814632</v>
      </c>
      <c r="CO100" s="4">
        <f t="shared" si="36"/>
        <v>0</v>
      </c>
      <c r="CP100" s="62">
        <f t="shared" si="37"/>
        <v>0</v>
      </c>
      <c r="CQ100" s="66" t="str">
        <f t="shared" si="38"/>
        <v/>
      </c>
      <c r="CR100" s="66" t="str">
        <f t="shared" si="39"/>
        <v/>
      </c>
      <c r="CS100" s="66" t="str">
        <f t="shared" si="43"/>
        <v/>
      </c>
      <c r="CT100" s="66" t="str">
        <f t="shared" si="44"/>
        <v/>
      </c>
      <c r="CU100" s="43">
        <f t="shared" si="33"/>
        <v>772.57401952814632</v>
      </c>
      <c r="CV100" s="44">
        <f t="shared" si="61"/>
        <v>970.07445464345597</v>
      </c>
      <c r="CW100" s="44">
        <f t="shared" si="48"/>
        <v>92.523633601572797</v>
      </c>
      <c r="CX100" s="44">
        <f t="shared" si="34"/>
        <v>75.302903849911829</v>
      </c>
      <c r="CY100" s="44">
        <f t="shared" si="49"/>
        <v>30.121161539964731</v>
      </c>
      <c r="CZ100" s="46">
        <f t="shared" si="50"/>
        <v>785.47445131645009</v>
      </c>
      <c r="DA100" s="46">
        <f t="shared" si="35"/>
        <v>12.900431788303763</v>
      </c>
      <c r="DB100" s="44">
        <f t="shared" si="51"/>
        <v>987.29518439511696</v>
      </c>
      <c r="DC100" s="46">
        <f t="shared" si="52"/>
        <v>17.220729751660997</v>
      </c>
      <c r="DD100" s="47">
        <f t="shared" si="53"/>
        <v>41.905221643177214</v>
      </c>
      <c r="DE100" s="46">
        <f t="shared" si="54"/>
        <v>1730.8644140683898</v>
      </c>
      <c r="DF100" s="47"/>
      <c r="DG100" s="48" t="e">
        <f t="shared" si="42"/>
        <v>#N/A</v>
      </c>
      <c r="DH100" s="49"/>
      <c r="DI100" s="50" t="str">
        <f t="shared" si="68"/>
        <v/>
      </c>
      <c r="DJ100" s="51">
        <f t="shared" si="62"/>
        <v>1.7312038308130558E-2</v>
      </c>
      <c r="DK100" s="67"/>
      <c r="DL100" s="52">
        <v>43</v>
      </c>
      <c r="DM100" s="4"/>
      <c r="DN100" s="4"/>
      <c r="DO100" s="4"/>
      <c r="DP100" s="4"/>
      <c r="DQ100" s="4"/>
      <c r="DR100" s="18" t="e">
        <f t="shared" si="40"/>
        <v>#N/A</v>
      </c>
      <c r="DS100" s="54">
        <v>5</v>
      </c>
      <c r="DT100" s="55">
        <f t="shared" si="56"/>
        <v>22500</v>
      </c>
      <c r="DU100" s="54">
        <v>20</v>
      </c>
      <c r="DV100" s="54">
        <f t="shared" si="57"/>
        <v>36000</v>
      </c>
      <c r="DW100" s="56">
        <f t="shared" si="58"/>
        <v>8.3500181462286776</v>
      </c>
      <c r="DX100" s="57">
        <f t="shared" si="63"/>
        <v>0.70000000000000095</v>
      </c>
      <c r="DY100" s="58">
        <f t="shared" si="64"/>
        <v>3150.0000000000041</v>
      </c>
      <c r="DZ100" s="65">
        <f t="shared" si="25"/>
        <v>10.969999999999963</v>
      </c>
      <c r="EA100" s="65">
        <f t="shared" si="65"/>
        <v>2015</v>
      </c>
      <c r="EB100" s="58">
        <f t="shared" si="31"/>
        <v>22104.549999999927</v>
      </c>
      <c r="EC100" s="58">
        <f t="shared" si="59"/>
        <v>7.017317460317428</v>
      </c>
      <c r="ED100" s="57">
        <f t="shared" si="66"/>
        <v>17.341905084241194</v>
      </c>
      <c r="EE100" s="60" t="s">
        <v>44</v>
      </c>
      <c r="EF100" s="57"/>
      <c r="EG100" s="83">
        <v>46311</v>
      </c>
    </row>
    <row r="101" spans="65:137" ht="15">
      <c r="BM101" t="str">
        <f t="shared" si="32"/>
        <v/>
      </c>
      <c r="CI101" s="16">
        <v>46312</v>
      </c>
      <c r="CJ101" s="46">
        <v>32</v>
      </c>
      <c r="CK101" s="84">
        <f>AI39</f>
        <v>0</v>
      </c>
      <c r="CL101" s="46">
        <f t="shared" si="41"/>
        <v>1760.7832668019275</v>
      </c>
      <c r="CM101" s="39">
        <f t="shared" si="47"/>
        <v>8.3500181462286776</v>
      </c>
      <c r="CN101" s="40">
        <f t="shared" si="60"/>
        <v>785.47445131645009</v>
      </c>
      <c r="CO101" s="4">
        <f t="shared" si="36"/>
        <v>0</v>
      </c>
      <c r="CP101" s="62">
        <f t="shared" si="37"/>
        <v>0</v>
      </c>
      <c r="CQ101" s="66" t="str">
        <f t="shared" si="38"/>
        <v/>
      </c>
      <c r="CR101" s="66" t="str">
        <f t="shared" si="39"/>
        <v/>
      </c>
      <c r="CS101" s="66" t="str">
        <f t="shared" si="43"/>
        <v/>
      </c>
      <c r="CT101" s="66" t="str">
        <f t="shared" si="44"/>
        <v/>
      </c>
      <c r="CU101" s="43">
        <f t="shared" ref="CU101:CU121" si="73">CN101-SUM(CP101:CT101)</f>
        <v>785.47445131645009</v>
      </c>
      <c r="CV101" s="44">
        <f t="shared" si="61"/>
        <v>987.29518439511696</v>
      </c>
      <c r="CW101" s="44">
        <f t="shared" si="48"/>
        <v>94.068592134882138</v>
      </c>
      <c r="CX101" s="44">
        <f t="shared" ref="CX101:CX121" si="74">CW89</f>
        <v>76.504923732717117</v>
      </c>
      <c r="CY101" s="44">
        <f t="shared" si="49"/>
        <v>30.601969493086841</v>
      </c>
      <c r="CZ101" s="46">
        <f t="shared" si="50"/>
        <v>798.51275240737186</v>
      </c>
      <c r="DA101" s="46">
        <f t="shared" ref="DA101:DA122" si="75">CZ101-CN101</f>
        <v>13.038301090921777</v>
      </c>
      <c r="DB101" s="44">
        <f t="shared" si="51"/>
        <v>1004.858852797282</v>
      </c>
      <c r="DC101" s="46">
        <f t="shared" si="52"/>
        <v>17.563668402165035</v>
      </c>
      <c r="DD101" s="47">
        <f t="shared" si="53"/>
        <v>42.588338402726393</v>
      </c>
      <c r="DE101" s="46">
        <f t="shared" si="54"/>
        <v>1760.7832668019275</v>
      </c>
      <c r="DF101" s="47">
        <f t="shared" ref="DF101" si="76">DD101</f>
        <v>42.588338402726393</v>
      </c>
      <c r="DG101" s="48" t="e">
        <f t="shared" si="42"/>
        <v>#N/A</v>
      </c>
      <c r="DH101" s="49"/>
      <c r="DI101" s="50" t="str">
        <f t="shared" si="68"/>
        <v/>
      </c>
      <c r="DJ101" s="51">
        <f t="shared" si="62"/>
        <v>1.7285497633643985E-2</v>
      </c>
      <c r="DK101" s="67"/>
      <c r="DL101" s="52">
        <v>44</v>
      </c>
      <c r="DM101" s="4"/>
      <c r="DN101" s="4"/>
      <c r="DO101" s="4"/>
      <c r="DP101" s="4"/>
      <c r="DQ101" s="4"/>
      <c r="DR101" s="18" t="e">
        <f t="shared" si="40"/>
        <v>#N/A</v>
      </c>
      <c r="DS101" s="54">
        <v>5</v>
      </c>
      <c r="DT101" s="55">
        <f t="shared" si="56"/>
        <v>22500</v>
      </c>
      <c r="DU101" s="54">
        <v>20</v>
      </c>
      <c r="DV101" s="54">
        <f t="shared" si="57"/>
        <v>36000</v>
      </c>
      <c r="DW101" s="56">
        <f t="shared" si="58"/>
        <v>8.3500181462286776</v>
      </c>
      <c r="DX101" s="57">
        <f t="shared" si="63"/>
        <v>0.60000000000000098</v>
      </c>
      <c r="DY101" s="58">
        <f t="shared" si="64"/>
        <v>2700.0000000000045</v>
      </c>
      <c r="DZ101" s="65">
        <f t="shared" si="25"/>
        <v>10.759999999999962</v>
      </c>
      <c r="EA101" s="65">
        <f t="shared" si="65"/>
        <v>2020</v>
      </c>
      <c r="EB101" s="58">
        <f t="shared" si="31"/>
        <v>21735.199999999924</v>
      </c>
      <c r="EC101" s="58">
        <f t="shared" si="59"/>
        <v>8.0500740740740326</v>
      </c>
      <c r="ED101" s="57">
        <f t="shared" si="66"/>
        <v>18.028406465682316</v>
      </c>
      <c r="EE101" s="60" t="s">
        <v>44</v>
      </c>
      <c r="EF101" s="57"/>
      <c r="EG101" s="83">
        <v>46312</v>
      </c>
    </row>
    <row r="102" spans="65:137" ht="15">
      <c r="CI102" s="16">
        <v>46313</v>
      </c>
      <c r="CJ102" s="46">
        <v>33</v>
      </c>
      <c r="CK102" s="84">
        <f>AJ39</f>
        <v>0</v>
      </c>
      <c r="CL102" s="46">
        <f t="shared" si="41"/>
        <v>1791.1848631947762</v>
      </c>
      <c r="CM102" s="39">
        <f t="shared" si="47"/>
        <v>8.3500181462286776</v>
      </c>
      <c r="CN102" s="40">
        <f t="shared" si="60"/>
        <v>798.51275240737186</v>
      </c>
      <c r="CO102" s="4">
        <f t="shared" ref="CO102:CO129" si="77">IF($S$6="",0,IF($S$6="C",CK102*$S$5,IF($S$6=4,DM102,IF($S$6=5,DN102,IF($S$6=7,DO102,IF($S$6=10,DP102,IF($S$6=14,DQ102,"")))))))</f>
        <v>0</v>
      </c>
      <c r="CP102" s="62">
        <f t="shared" ref="CP102:CP129" si="78">CN102*CO102*CP$57</f>
        <v>0</v>
      </c>
      <c r="CQ102" s="66" t="str">
        <f t="shared" ref="CQ102:CQ129" si="79">IF(CO101&gt;0,CN102*CO101*CQ$57,"")</f>
        <v/>
      </c>
      <c r="CR102" s="66" t="str">
        <f t="shared" ref="CR102:CR129" si="80">IF(CO100&gt;0,CN102*CO100*CR$57,"")</f>
        <v/>
      </c>
      <c r="CS102" s="66" t="str">
        <f t="shared" si="43"/>
        <v/>
      </c>
      <c r="CT102" s="66" t="str">
        <f t="shared" si="44"/>
        <v/>
      </c>
      <c r="CU102" s="43">
        <f t="shared" si="73"/>
        <v>798.51275240737186</v>
      </c>
      <c r="CV102" s="44">
        <f t="shared" si="61"/>
        <v>1004.858852797282</v>
      </c>
      <c r="CW102" s="44">
        <f t="shared" si="48"/>
        <v>95.630061926035893</v>
      </c>
      <c r="CX102" s="44">
        <f t="shared" si="74"/>
        <v>77.760768003065209</v>
      </c>
      <c r="CY102" s="44">
        <f t="shared" si="49"/>
        <v>31.104307201226078</v>
      </c>
      <c r="CZ102" s="46">
        <f t="shared" si="50"/>
        <v>811.74776568562731</v>
      </c>
      <c r="DA102" s="46">
        <f t="shared" si="75"/>
        <v>13.235013278255451</v>
      </c>
      <c r="DB102" s="44">
        <f t="shared" si="51"/>
        <v>1022.7281467202527</v>
      </c>
      <c r="DC102" s="46">
        <f t="shared" si="52"/>
        <v>17.869293922970655</v>
      </c>
      <c r="DD102" s="47">
        <f t="shared" si="53"/>
        <v>43.291049211103861</v>
      </c>
      <c r="DE102" s="46">
        <f t="shared" si="54"/>
        <v>1791.1848631947762</v>
      </c>
      <c r="DF102" s="47"/>
      <c r="DG102" s="48" t="e">
        <f t="shared" si="42"/>
        <v>#N/A</v>
      </c>
      <c r="DH102" s="49"/>
      <c r="DI102" s="50" t="str">
        <f t="shared" si="68"/>
        <v/>
      </c>
      <c r="DJ102" s="51">
        <f t="shared" si="62"/>
        <v>1.7265950310890007E-2</v>
      </c>
      <c r="DK102" s="38"/>
      <c r="DL102" s="52">
        <v>45</v>
      </c>
      <c r="DM102" s="4">
        <f>$S$5</f>
        <v>0</v>
      </c>
      <c r="DN102" s="4"/>
      <c r="DO102" s="4"/>
      <c r="DP102" s="4"/>
      <c r="DQ102" s="85"/>
      <c r="DR102" s="18" t="e">
        <f t="shared" ref="DR102:DR129" si="81">IF(CO102=0,NA(),1)</f>
        <v>#N/A</v>
      </c>
      <c r="DS102" s="54">
        <v>5</v>
      </c>
      <c r="DT102" s="55">
        <f t="shared" si="56"/>
        <v>22500</v>
      </c>
      <c r="DU102" s="54">
        <v>20</v>
      </c>
      <c r="DV102" s="54">
        <f t="shared" si="57"/>
        <v>36000</v>
      </c>
      <c r="DW102" s="56">
        <f t="shared" si="58"/>
        <v>8.3500181462286776</v>
      </c>
      <c r="DX102" s="57">
        <f t="shared" si="63"/>
        <v>0.500000000000001</v>
      </c>
      <c r="DY102" s="58">
        <f t="shared" si="64"/>
        <v>2250.0000000000045</v>
      </c>
      <c r="DZ102" s="65">
        <f t="shared" si="25"/>
        <v>10.549999999999962</v>
      </c>
      <c r="EA102" s="65">
        <f t="shared" si="65"/>
        <v>2025</v>
      </c>
      <c r="EB102" s="58">
        <f t="shared" si="31"/>
        <v>21363.749999999924</v>
      </c>
      <c r="EC102" s="58">
        <f t="shared" si="59"/>
        <v>9.4949999999999477</v>
      </c>
      <c r="ED102" s="57">
        <f t="shared" si="66"/>
        <v>18.853826721321219</v>
      </c>
      <c r="EE102" s="86" t="s">
        <v>53</v>
      </c>
      <c r="EF102" s="87">
        <v>1</v>
      </c>
      <c r="EG102" s="83">
        <v>46313</v>
      </c>
    </row>
    <row r="103" spans="65:137" ht="15">
      <c r="CI103" s="16">
        <v>46314</v>
      </c>
      <c r="CJ103" s="46">
        <v>34</v>
      </c>
      <c r="CK103" s="84">
        <f>AK39</f>
        <v>0</v>
      </c>
      <c r="CL103" s="46">
        <f t="shared" si="41"/>
        <v>1822.0894040695625</v>
      </c>
      <c r="CM103" s="39">
        <f t="shared" si="47"/>
        <v>8.3500181462286776</v>
      </c>
      <c r="CN103" s="40">
        <f t="shared" si="60"/>
        <v>811.74776568562731</v>
      </c>
      <c r="CO103" s="4">
        <f t="shared" si="77"/>
        <v>0</v>
      </c>
      <c r="CP103" s="62">
        <f t="shared" si="78"/>
        <v>0</v>
      </c>
      <c r="CQ103" s="66" t="str">
        <f t="shared" si="79"/>
        <v/>
      </c>
      <c r="CR103" s="66" t="str">
        <f t="shared" si="80"/>
        <v/>
      </c>
      <c r="CS103" s="66" t="str">
        <f t="shared" si="43"/>
        <v/>
      </c>
      <c r="CT103" s="66" t="str">
        <f t="shared" si="44"/>
        <v/>
      </c>
      <c r="CU103" s="43">
        <f t="shared" si="73"/>
        <v>811.74776568562731</v>
      </c>
      <c r="CV103" s="44">
        <f t="shared" si="61"/>
        <v>1022.7281467202527</v>
      </c>
      <c r="CW103" s="44">
        <f t="shared" si="48"/>
        <v>97.2150900117812</v>
      </c>
      <c r="CX103" s="44">
        <f t="shared" si="74"/>
        <v>79.071858058232507</v>
      </c>
      <c r="CY103" s="44">
        <f t="shared" si="49"/>
        <v>31.628743223293</v>
      </c>
      <c r="CZ103" s="46">
        <f t="shared" si="50"/>
        <v>825.23327695537159</v>
      </c>
      <c r="DA103" s="46">
        <f t="shared" si="75"/>
        <v>13.485511269744279</v>
      </c>
      <c r="DB103" s="44">
        <f t="shared" si="51"/>
        <v>1040.8713786738015</v>
      </c>
      <c r="DC103" s="46">
        <f t="shared" si="52"/>
        <v>18.14323195354882</v>
      </c>
      <c r="DD103" s="47">
        <f t="shared" si="53"/>
        <v>44.015251559610434</v>
      </c>
      <c r="DE103" s="46">
        <f t="shared" si="54"/>
        <v>1822.0894040695625</v>
      </c>
      <c r="DF103" s="47">
        <f t="shared" ref="DF103" si="82">DD103</f>
        <v>44.015251559610434</v>
      </c>
      <c r="DG103" s="48" t="e">
        <f t="shared" ref="DG103:DG129" si="83">IF(CO102&gt;0,CP102+CQ103+CL102*0.025,NA())</f>
        <v>#N/A</v>
      </c>
      <c r="DH103" s="49"/>
      <c r="DI103" s="50" t="str">
        <f t="shared" si="68"/>
        <v/>
      </c>
      <c r="DJ103" s="51">
        <f t="shared" si="62"/>
        <v>1.7253685819823571E-2</v>
      </c>
      <c r="DK103" s="67"/>
      <c r="DL103" s="52">
        <v>46</v>
      </c>
      <c r="DM103" s="4"/>
      <c r="DN103" s="4"/>
      <c r="DO103" s="85"/>
      <c r="DP103" s="85"/>
      <c r="DQ103" s="4"/>
      <c r="DR103" s="18" t="e">
        <f t="shared" si="81"/>
        <v>#N/A</v>
      </c>
      <c r="DS103" s="54">
        <v>5</v>
      </c>
      <c r="DT103" s="55">
        <f t="shared" si="56"/>
        <v>22500</v>
      </c>
      <c r="DU103" s="54">
        <v>20</v>
      </c>
      <c r="DV103" s="54">
        <f t="shared" si="57"/>
        <v>36000</v>
      </c>
      <c r="DW103" s="56">
        <f t="shared" si="58"/>
        <v>8.3500181462286776</v>
      </c>
      <c r="DX103" s="57">
        <f t="shared" si="63"/>
        <v>0.40000000000000102</v>
      </c>
      <c r="DY103" s="58">
        <f t="shared" si="64"/>
        <v>1800.0000000000045</v>
      </c>
      <c r="DZ103" s="65">
        <f t="shared" si="25"/>
        <v>10.339999999999961</v>
      </c>
      <c r="EA103" s="65">
        <f t="shared" si="65"/>
        <v>2030</v>
      </c>
      <c r="EB103" s="58">
        <f t="shared" si="31"/>
        <v>20990.199999999921</v>
      </c>
      <c r="EC103" s="58">
        <f t="shared" si="59"/>
        <v>11.661222222222149</v>
      </c>
      <c r="ED103" s="57">
        <f t="shared" si="66"/>
        <v>19.88134498615927</v>
      </c>
      <c r="EE103" s="86" t="s">
        <v>53</v>
      </c>
      <c r="EF103" s="87">
        <v>2</v>
      </c>
      <c r="EG103" s="83">
        <v>46314</v>
      </c>
    </row>
    <row r="104" spans="65:137" ht="15">
      <c r="CI104" s="16">
        <v>46315</v>
      </c>
      <c r="CJ104" s="46">
        <v>35</v>
      </c>
      <c r="CK104" s="84">
        <f>AL39</f>
        <v>0</v>
      </c>
      <c r="CL104" s="46">
        <f t="shared" si="41"/>
        <v>1853.5176007319369</v>
      </c>
      <c r="CM104" s="39">
        <f t="shared" si="47"/>
        <v>8.3500181462286776</v>
      </c>
      <c r="CN104" s="40">
        <f t="shared" si="60"/>
        <v>825.23327695537159</v>
      </c>
      <c r="CO104" s="4">
        <f t="shared" si="77"/>
        <v>0</v>
      </c>
      <c r="CP104" s="62">
        <f t="shared" si="78"/>
        <v>0</v>
      </c>
      <c r="CQ104" s="66" t="str">
        <f t="shared" si="79"/>
        <v/>
      </c>
      <c r="CR104" s="66" t="str">
        <f t="shared" si="80"/>
        <v/>
      </c>
      <c r="CS104" s="66" t="str">
        <f t="shared" si="43"/>
        <v/>
      </c>
      <c r="CT104" s="66" t="str">
        <f t="shared" si="44"/>
        <v/>
      </c>
      <c r="CU104" s="43">
        <f t="shared" si="73"/>
        <v>825.23327695537159</v>
      </c>
      <c r="CV104" s="44">
        <f t="shared" si="61"/>
        <v>1040.8713786738015</v>
      </c>
      <c r="CW104" s="44">
        <f t="shared" si="48"/>
        <v>98.830117791790883</v>
      </c>
      <c r="CX104" s="44">
        <f t="shared" si="74"/>
        <v>80.437770266481635</v>
      </c>
      <c r="CY104" s="44">
        <f t="shared" si="49"/>
        <v>32.175108106592646</v>
      </c>
      <c r="CZ104" s="46">
        <f t="shared" si="50"/>
        <v>839.01603753665506</v>
      </c>
      <c r="DA104" s="46">
        <f t="shared" si="75"/>
        <v>13.782760581283469</v>
      </c>
      <c r="DB104" s="44">
        <f t="shared" si="51"/>
        <v>1059.2637261991108</v>
      </c>
      <c r="DC104" s="46">
        <f t="shared" si="52"/>
        <v>18.392347525309333</v>
      </c>
      <c r="DD104" s="47">
        <f t="shared" si="53"/>
        <v>44.762163003828782</v>
      </c>
      <c r="DE104" s="46">
        <f t="shared" si="54"/>
        <v>1853.5176007319369</v>
      </c>
      <c r="DF104" s="47"/>
      <c r="DG104" s="48" t="e">
        <f t="shared" si="83"/>
        <v>#N/A</v>
      </c>
      <c r="DH104" s="49"/>
      <c r="DI104" s="50" t="str">
        <f t="shared" si="68"/>
        <v/>
      </c>
      <c r="DJ104" s="51">
        <f t="shared" si="62"/>
        <v>1.7248438299559164E-2</v>
      </c>
      <c r="DK104" s="67"/>
      <c r="DL104" s="52">
        <v>47</v>
      </c>
      <c r="DM104" s="4"/>
      <c r="DN104" s="4">
        <f>$S$5</f>
        <v>0</v>
      </c>
      <c r="DO104" s="4"/>
      <c r="DP104" s="4"/>
      <c r="DQ104" s="85"/>
      <c r="DR104" s="18" t="e">
        <f t="shared" si="81"/>
        <v>#N/A</v>
      </c>
      <c r="DS104" s="54">
        <v>5</v>
      </c>
      <c r="DT104" s="55">
        <f t="shared" si="56"/>
        <v>22500</v>
      </c>
      <c r="DU104" s="54">
        <v>20</v>
      </c>
      <c r="DV104" s="54">
        <f t="shared" si="57"/>
        <v>36000</v>
      </c>
      <c r="DW104" s="56">
        <f t="shared" si="58"/>
        <v>8.3500181462286776</v>
      </c>
      <c r="DX104" s="57">
        <f t="shared" si="63"/>
        <v>0.30000000000000104</v>
      </c>
      <c r="DY104" s="58">
        <f t="shared" si="64"/>
        <v>1350.0000000000048</v>
      </c>
      <c r="DZ104" s="65">
        <f t="shared" si="25"/>
        <v>10.12999999999996</v>
      </c>
      <c r="EA104" s="65">
        <f t="shared" si="65"/>
        <v>2035</v>
      </c>
      <c r="EB104" s="58">
        <f t="shared" si="31"/>
        <v>20614.549999999919</v>
      </c>
      <c r="EC104" s="58">
        <f t="shared" si="59"/>
        <v>15.270037037036923</v>
      </c>
      <c r="ED104" s="57">
        <f t="shared" si="66"/>
        <v>21.229462723524023</v>
      </c>
      <c r="EE104" s="86" t="s">
        <v>53</v>
      </c>
      <c r="EF104" s="87">
        <v>3</v>
      </c>
      <c r="EG104" s="83">
        <v>46315</v>
      </c>
    </row>
    <row r="105" spans="65:137" ht="15">
      <c r="CI105" s="16">
        <v>46316</v>
      </c>
      <c r="CJ105" s="46">
        <v>36</v>
      </c>
      <c r="CK105" s="84">
        <f>AM39</f>
        <v>0</v>
      </c>
      <c r="CL105" s="46">
        <f t="shared" si="41"/>
        <v>1885.4900560223821</v>
      </c>
      <c r="CM105" s="39">
        <f t="shared" si="47"/>
        <v>8.3500181462286776</v>
      </c>
      <c r="CN105" s="40">
        <f t="shared" si="60"/>
        <v>839.01603753665506</v>
      </c>
      <c r="CO105" s="4">
        <f t="shared" si="77"/>
        <v>0</v>
      </c>
      <c r="CP105" s="62">
        <f t="shared" si="78"/>
        <v>0</v>
      </c>
      <c r="CQ105" s="66" t="str">
        <f t="shared" si="79"/>
        <v/>
      </c>
      <c r="CR105" s="66" t="str">
        <f t="shared" si="80"/>
        <v/>
      </c>
      <c r="CS105" s="66" t="str">
        <f t="shared" ref="CS105:CS129" si="84">IF(CO102&gt;0,CN102*CO102*CS$57,"")</f>
        <v/>
      </c>
      <c r="CT105" s="66" t="str">
        <f t="shared" si="44"/>
        <v/>
      </c>
      <c r="CU105" s="43">
        <f t="shared" si="73"/>
        <v>839.01603753665506</v>
      </c>
      <c r="CV105" s="44">
        <f t="shared" si="61"/>
        <v>1059.2637261991108</v>
      </c>
      <c r="CW105" s="44">
        <f t="shared" si="48"/>
        <v>100.48074421438238</v>
      </c>
      <c r="CX105" s="44">
        <f t="shared" si="74"/>
        <v>81.856932250329152</v>
      </c>
      <c r="CY105" s="44">
        <f t="shared" si="49"/>
        <v>32.742772900131655</v>
      </c>
      <c r="CZ105" s="46">
        <f t="shared" si="50"/>
        <v>853.1349984727334</v>
      </c>
      <c r="DA105" s="46">
        <f t="shared" si="75"/>
        <v>14.118960936078338</v>
      </c>
      <c r="DB105" s="44">
        <f t="shared" si="51"/>
        <v>1077.887538163164</v>
      </c>
      <c r="DC105" s="46">
        <f t="shared" si="52"/>
        <v>18.623811964053175</v>
      </c>
      <c r="DD105" s="47">
        <f t="shared" si="53"/>
        <v>45.532480613515126</v>
      </c>
      <c r="DE105" s="46">
        <f t="shared" si="54"/>
        <v>1885.4900560223821</v>
      </c>
      <c r="DF105" s="47">
        <f t="shared" ref="DF105" si="85">DD105</f>
        <v>45.532480613515126</v>
      </c>
      <c r="DG105" s="48" t="e">
        <f t="shared" si="83"/>
        <v>#N/A</v>
      </c>
      <c r="DH105" s="49"/>
      <c r="DI105" s="50" t="str">
        <f t="shared" si="68"/>
        <v/>
      </c>
      <c r="DJ105" s="51">
        <f t="shared" si="62"/>
        <v>1.7249609757047649E-2</v>
      </c>
      <c r="DK105" s="38">
        <f>DE105</f>
        <v>1885.4900560223821</v>
      </c>
      <c r="DL105" s="52">
        <v>48</v>
      </c>
      <c r="DM105" s="4"/>
      <c r="DN105" s="4"/>
      <c r="DO105" s="4">
        <f>$S$5</f>
        <v>0</v>
      </c>
      <c r="DP105" s="85"/>
      <c r="DQ105" s="4"/>
      <c r="DR105" s="18" t="e">
        <f t="shared" si="81"/>
        <v>#N/A</v>
      </c>
      <c r="DS105" s="54">
        <v>5</v>
      </c>
      <c r="DT105" s="55">
        <f t="shared" si="56"/>
        <v>22500</v>
      </c>
      <c r="DU105" s="54">
        <v>20</v>
      </c>
      <c r="DV105" s="54">
        <f t="shared" si="57"/>
        <v>36000</v>
      </c>
      <c r="DW105" s="56">
        <f t="shared" si="58"/>
        <v>8.3500181462286776</v>
      </c>
      <c r="DX105" s="57">
        <f t="shared" si="63"/>
        <v>0.20000000000000104</v>
      </c>
      <c r="DY105" s="58">
        <f t="shared" si="64"/>
        <v>900.00000000000466</v>
      </c>
      <c r="DZ105" s="65">
        <v>10</v>
      </c>
      <c r="EA105" s="65">
        <f t="shared" si="65"/>
        <v>2040</v>
      </c>
      <c r="EB105" s="58">
        <f t="shared" si="31"/>
        <v>20400</v>
      </c>
      <c r="EC105" s="58">
        <f t="shared" si="59"/>
        <v>22.666666666666551</v>
      </c>
      <c r="ED105" s="57">
        <f t="shared" si="66"/>
        <v>23.20447708253996</v>
      </c>
      <c r="EE105" s="86" t="s">
        <v>53</v>
      </c>
      <c r="EF105" s="87">
        <v>4</v>
      </c>
      <c r="EG105" s="83">
        <v>46316</v>
      </c>
    </row>
    <row r="106" spans="65:137" ht="15">
      <c r="CI106" s="16">
        <v>46317</v>
      </c>
      <c r="CJ106" s="46">
        <v>37</v>
      </c>
      <c r="CK106" s="84">
        <f>AN39</f>
        <v>0</v>
      </c>
      <c r="CL106" s="46">
        <f t="shared" si="41"/>
        <v>1918.0268736874891</v>
      </c>
      <c r="CM106" s="39">
        <f t="shared" si="47"/>
        <v>8.3500181462286776</v>
      </c>
      <c r="CN106" s="40">
        <f t="shared" si="60"/>
        <v>853.1349984727334</v>
      </c>
      <c r="CO106" s="4">
        <f t="shared" si="77"/>
        <v>0</v>
      </c>
      <c r="CP106" s="62">
        <f t="shared" si="78"/>
        <v>0</v>
      </c>
      <c r="CQ106" s="66" t="str">
        <f t="shared" si="79"/>
        <v/>
      </c>
      <c r="CR106" s="66" t="str">
        <f t="shared" si="80"/>
        <v/>
      </c>
      <c r="CS106" s="66" t="str">
        <f t="shared" si="84"/>
        <v/>
      </c>
      <c r="CT106" s="66" t="str">
        <f t="shared" ref="CT106:CT129" si="86">IF(CO102&gt;0,CN102*CO102*CT$57,"")</f>
        <v/>
      </c>
      <c r="CU106" s="43">
        <f t="shared" si="73"/>
        <v>853.1349984727334</v>
      </c>
      <c r="CV106" s="44">
        <f t="shared" si="61"/>
        <v>1077.887538163164</v>
      </c>
      <c r="CW106" s="44">
        <f t="shared" si="48"/>
        <v>102.17163406501764</v>
      </c>
      <c r="CX106" s="44">
        <f t="shared" si="74"/>
        <v>83.327120134099758</v>
      </c>
      <c r="CY106" s="44">
        <f t="shared" si="49"/>
        <v>33.330848053639897</v>
      </c>
      <c r="CZ106" s="46">
        <f t="shared" si="50"/>
        <v>867.62133259545544</v>
      </c>
      <c r="DA106" s="46">
        <f t="shared" si="75"/>
        <v>14.486334122722042</v>
      </c>
      <c r="DB106" s="44">
        <f t="shared" si="51"/>
        <v>1096.7320520940818</v>
      </c>
      <c r="DC106" s="46">
        <f t="shared" si="52"/>
        <v>18.844513930917856</v>
      </c>
      <c r="DD106" s="47">
        <f t="shared" si="53"/>
        <v>46.326511002048271</v>
      </c>
      <c r="DE106" s="46">
        <f t="shared" si="54"/>
        <v>1918.0268736874891</v>
      </c>
      <c r="DF106" s="47"/>
      <c r="DG106" s="48" t="e">
        <f t="shared" si="83"/>
        <v>#N/A</v>
      </c>
      <c r="DH106" s="49"/>
      <c r="DI106" s="50" t="str">
        <f t="shared" si="68"/>
        <v/>
      </c>
      <c r="DJ106" s="51">
        <f t="shared" si="62"/>
        <v>1.7256424960281416E-2</v>
      </c>
      <c r="DK106" s="67"/>
      <c r="DL106" s="52">
        <v>49</v>
      </c>
      <c r="DM106" s="4">
        <f>$S$5</f>
        <v>0</v>
      </c>
      <c r="DN106" s="4"/>
      <c r="DO106" s="4"/>
      <c r="DP106" s="4"/>
      <c r="DQ106" s="4"/>
      <c r="DR106" s="18" t="e">
        <f t="shared" si="81"/>
        <v>#N/A</v>
      </c>
      <c r="DS106" s="54">
        <v>5</v>
      </c>
      <c r="DT106" s="55">
        <f t="shared" si="56"/>
        <v>22500</v>
      </c>
      <c r="DU106" s="54">
        <v>20</v>
      </c>
      <c r="DV106" s="54">
        <f t="shared" si="57"/>
        <v>36000</v>
      </c>
      <c r="DW106" s="56">
        <f t="shared" si="58"/>
        <v>8.3500181462286776</v>
      </c>
      <c r="DX106" s="57">
        <f t="shared" si="63"/>
        <v>0.10000000000000103</v>
      </c>
      <c r="DY106" s="58">
        <f t="shared" si="64"/>
        <v>450.00000000000466</v>
      </c>
      <c r="DZ106" s="65">
        <v>10</v>
      </c>
      <c r="EA106" s="65">
        <f t="shared" si="65"/>
        <v>2045</v>
      </c>
      <c r="EB106" s="58">
        <v>20000</v>
      </c>
      <c r="EC106" s="58">
        <f t="shared" si="59"/>
        <v>44.444444444443981</v>
      </c>
      <c r="ED106" s="57">
        <f t="shared" si="66"/>
        <v>26.571199848858761</v>
      </c>
      <c r="EE106" s="86" t="s">
        <v>53</v>
      </c>
      <c r="EF106" s="87">
        <v>5</v>
      </c>
      <c r="EG106" s="83">
        <v>46317</v>
      </c>
    </row>
    <row r="107" spans="65:137" ht="15">
      <c r="CI107" s="16">
        <v>46318</v>
      </c>
      <c r="CJ107" s="46">
        <v>38</v>
      </c>
      <c r="CK107" s="84">
        <f>AO39</f>
        <v>0</v>
      </c>
      <c r="CL107" s="46">
        <f t="shared" si="41"/>
        <v>1951.1474321212206</v>
      </c>
      <c r="CM107" s="39">
        <f t="shared" si="47"/>
        <v>8.3500181462286776</v>
      </c>
      <c r="CN107" s="40">
        <f t="shared" si="60"/>
        <v>867.62133259545544</v>
      </c>
      <c r="CO107" s="4">
        <f t="shared" si="77"/>
        <v>0</v>
      </c>
      <c r="CP107" s="62">
        <f t="shared" si="78"/>
        <v>0</v>
      </c>
      <c r="CQ107" s="66" t="str">
        <f t="shared" si="79"/>
        <v/>
      </c>
      <c r="CR107" s="66" t="str">
        <f t="shared" si="80"/>
        <v/>
      </c>
      <c r="CS107" s="66" t="str">
        <f t="shared" si="84"/>
        <v/>
      </c>
      <c r="CT107" s="66" t="str">
        <f t="shared" si="86"/>
        <v/>
      </c>
      <c r="CU107" s="43">
        <f t="shared" si="73"/>
        <v>867.62133259545544</v>
      </c>
      <c r="CV107" s="44">
        <f t="shared" si="61"/>
        <v>1096.7320520940818</v>
      </c>
      <c r="CW107" s="44">
        <f t="shared" si="48"/>
        <v>103.90652060885886</v>
      </c>
      <c r="CX107" s="44">
        <f t="shared" si="74"/>
        <v>84.845807465696083</v>
      </c>
      <c r="CY107" s="44">
        <f t="shared" si="49"/>
        <v>33.938322986278422</v>
      </c>
      <c r="CZ107" s="46">
        <f t="shared" si="50"/>
        <v>882.49894243857113</v>
      </c>
      <c r="DA107" s="46">
        <f t="shared" si="75"/>
        <v>14.877609843115692</v>
      </c>
      <c r="DB107" s="44">
        <f t="shared" si="51"/>
        <v>1115.7927652372446</v>
      </c>
      <c r="DC107" s="46">
        <f t="shared" si="52"/>
        <v>19.060713143162729</v>
      </c>
      <c r="DD107" s="47">
        <f t="shared" si="53"/>
        <v>47.144275554595211</v>
      </c>
      <c r="DE107" s="46">
        <f t="shared" si="54"/>
        <v>1951.1474321212206</v>
      </c>
      <c r="DF107" s="47">
        <f t="shared" ref="DF107" si="87">DD107</f>
        <v>47.144275554595211</v>
      </c>
      <c r="DG107" s="48" t="e">
        <f t="shared" si="83"/>
        <v>#N/A</v>
      </c>
      <c r="DH107" s="49">
        <f>IF($S$3="F",315*CZ107/EB107,315*CZ107/DV107)</f>
        <v>7.7218657463374969</v>
      </c>
      <c r="DI107" s="50" t="str">
        <f t="shared" si="68"/>
        <v/>
      </c>
      <c r="DJ107" s="51">
        <f t="shared" si="62"/>
        <v>1.7268036693383657E-2</v>
      </c>
      <c r="DK107" s="67"/>
      <c r="DL107" s="52">
        <v>50</v>
      </c>
      <c r="DM107" s="4"/>
      <c r="DN107" s="4"/>
      <c r="DO107" s="4"/>
      <c r="DP107" s="4"/>
      <c r="DQ107" s="85"/>
      <c r="DR107" s="18" t="e">
        <f t="shared" si="81"/>
        <v>#N/A</v>
      </c>
      <c r="DS107" s="54">
        <v>5</v>
      </c>
      <c r="DT107" s="55">
        <f t="shared" si="56"/>
        <v>22500</v>
      </c>
      <c r="DU107" s="54">
        <v>20</v>
      </c>
      <c r="DV107" s="54">
        <f t="shared" si="57"/>
        <v>36000</v>
      </c>
      <c r="DW107" s="56">
        <f t="shared" si="58"/>
        <v>8.3500181462286776</v>
      </c>
      <c r="DX107" s="57">
        <v>0.1</v>
      </c>
      <c r="DY107" s="58">
        <f t="shared" si="64"/>
        <v>450</v>
      </c>
      <c r="DZ107" s="65">
        <v>10</v>
      </c>
      <c r="EA107" s="65">
        <f t="shared" si="65"/>
        <v>2050</v>
      </c>
      <c r="EB107" s="58">
        <v>20000</v>
      </c>
      <c r="EC107" s="58">
        <f t="shared" si="59"/>
        <v>44.444444444444443</v>
      </c>
      <c r="ED107" s="57">
        <f t="shared" si="66"/>
        <v>26.571199848858811</v>
      </c>
      <c r="EE107" s="86" t="s">
        <v>53</v>
      </c>
      <c r="EF107" s="87">
        <v>6</v>
      </c>
      <c r="EG107" s="83">
        <v>46318</v>
      </c>
    </row>
    <row r="108" spans="65:137" ht="15">
      <c r="CI108" s="16">
        <v>46319</v>
      </c>
      <c r="CJ108" s="46">
        <v>39</v>
      </c>
      <c r="CK108" s="84">
        <f>AP39</f>
        <v>0</v>
      </c>
      <c r="CL108" s="46">
        <f t="shared" si="41"/>
        <v>1984.8674270553729</v>
      </c>
      <c r="CM108" s="39">
        <f t="shared" si="47"/>
        <v>8.3500181462286776</v>
      </c>
      <c r="CN108" s="40">
        <f t="shared" si="60"/>
        <v>882.49894243857113</v>
      </c>
      <c r="CO108" s="4">
        <f t="shared" si="77"/>
        <v>0</v>
      </c>
      <c r="CP108" s="62">
        <f t="shared" si="78"/>
        <v>0</v>
      </c>
      <c r="CQ108" s="66" t="str">
        <f t="shared" si="79"/>
        <v/>
      </c>
      <c r="CR108" s="66" t="str">
        <f t="shared" si="80"/>
        <v/>
      </c>
      <c r="CS108" s="66" t="str">
        <f t="shared" si="84"/>
        <v/>
      </c>
      <c r="CT108" s="66" t="str">
        <f t="shared" si="86"/>
        <v/>
      </c>
      <c r="CU108" s="43">
        <f t="shared" si="73"/>
        <v>882.49894243857113</v>
      </c>
      <c r="CV108" s="44">
        <f t="shared" si="61"/>
        <v>1115.7927652372446</v>
      </c>
      <c r="CW108" s="44">
        <f t="shared" si="48"/>
        <v>105.68826641857727</v>
      </c>
      <c r="CX108" s="44">
        <f t="shared" si="74"/>
        <v>86.381929405211693</v>
      </c>
      <c r="CY108" s="44">
        <f t="shared" si="49"/>
        <v>34.552771762084674</v>
      </c>
      <c r="CZ108" s="46">
        <f t="shared" si="50"/>
        <v>897.74537718729027</v>
      </c>
      <c r="DA108" s="46">
        <f t="shared" si="75"/>
        <v>15.246434748719139</v>
      </c>
      <c r="DB108" s="44">
        <f t="shared" si="51"/>
        <v>1135.0991022506103</v>
      </c>
      <c r="DC108" s="46">
        <f t="shared" si="52"/>
        <v>19.306337013365692</v>
      </c>
      <c r="DD108" s="47">
        <f t="shared" si="53"/>
        <v>47.977052382527795</v>
      </c>
      <c r="DE108" s="46">
        <f t="shared" si="54"/>
        <v>1984.8674270553729</v>
      </c>
      <c r="DF108" s="47"/>
      <c r="DG108" s="48" t="e">
        <f t="shared" si="83"/>
        <v>#N/A</v>
      </c>
      <c r="DH108" s="49"/>
      <c r="DI108" s="50" t="str">
        <f t="shared" si="68"/>
        <v/>
      </c>
      <c r="DJ108" s="51">
        <f t="shared" si="62"/>
        <v>1.7282135823787063E-2</v>
      </c>
      <c r="DK108" s="38"/>
      <c r="DL108" s="52">
        <v>51</v>
      </c>
      <c r="DM108" s="4"/>
      <c r="DN108" s="4"/>
      <c r="DO108" s="4"/>
      <c r="DP108" s="4">
        <f>$S$5</f>
        <v>0</v>
      </c>
      <c r="DQ108" s="4"/>
      <c r="DR108" s="18" t="e">
        <f t="shared" si="81"/>
        <v>#N/A</v>
      </c>
      <c r="DS108" s="54">
        <v>5</v>
      </c>
      <c r="DT108" s="55">
        <f t="shared" si="56"/>
        <v>22500</v>
      </c>
      <c r="DU108" s="54">
        <v>20</v>
      </c>
      <c r="DV108" s="54">
        <f t="shared" si="57"/>
        <v>36000</v>
      </c>
      <c r="DW108" s="56">
        <f t="shared" si="58"/>
        <v>8.3500181462286776</v>
      </c>
      <c r="DX108" s="57">
        <v>0.1</v>
      </c>
      <c r="DY108" s="58">
        <f t="shared" si="64"/>
        <v>450</v>
      </c>
      <c r="DZ108" s="65">
        <v>10</v>
      </c>
      <c r="EA108" s="65">
        <f t="shared" si="65"/>
        <v>2055</v>
      </c>
      <c r="EB108" s="58">
        <v>20000</v>
      </c>
      <c r="EC108" s="58">
        <f t="shared" si="59"/>
        <v>44.444444444444443</v>
      </c>
      <c r="ED108" s="57">
        <f t="shared" si="66"/>
        <v>26.571199848858811</v>
      </c>
      <c r="EE108" s="86" t="s">
        <v>53</v>
      </c>
      <c r="EF108" s="87">
        <v>7</v>
      </c>
      <c r="EG108" s="83">
        <v>46319</v>
      </c>
    </row>
    <row r="109" spans="65:137" ht="15">
      <c r="CI109" s="16">
        <v>46320</v>
      </c>
      <c r="CJ109" s="46">
        <v>40</v>
      </c>
      <c r="CK109" s="84">
        <f>AQ39</f>
        <v>0</v>
      </c>
      <c r="CL109" s="46">
        <f t="shared" si="41"/>
        <v>2019.1928532465538</v>
      </c>
      <c r="CM109" s="39">
        <f t="shared" si="47"/>
        <v>8.3500181462286776</v>
      </c>
      <c r="CN109" s="40">
        <f t="shared" si="60"/>
        <v>897.74537718729027</v>
      </c>
      <c r="CO109" s="4">
        <f t="shared" si="77"/>
        <v>0</v>
      </c>
      <c r="CP109" s="62">
        <f t="shared" si="78"/>
        <v>0</v>
      </c>
      <c r="CQ109" s="66" t="str">
        <f t="shared" si="79"/>
        <v/>
      </c>
      <c r="CR109" s="66" t="str">
        <f t="shared" si="80"/>
        <v/>
      </c>
      <c r="CS109" s="66" t="str">
        <f t="shared" si="84"/>
        <v/>
      </c>
      <c r="CT109" s="66" t="str">
        <f t="shared" si="86"/>
        <v/>
      </c>
      <c r="CU109" s="43">
        <f t="shared" si="73"/>
        <v>897.74537718729027</v>
      </c>
      <c r="CV109" s="44">
        <f t="shared" si="61"/>
        <v>1135.0991022506103</v>
      </c>
      <c r="CW109" s="44">
        <f t="shared" si="48"/>
        <v>107.51418277968185</v>
      </c>
      <c r="CX109" s="44">
        <f t="shared" si="74"/>
        <v>87.920082383351996</v>
      </c>
      <c r="CY109" s="44">
        <f t="shared" si="49"/>
        <v>35.168032953340784</v>
      </c>
      <c r="CZ109" s="46">
        <f t="shared" si="50"/>
        <v>913.31930974430122</v>
      </c>
      <c r="DA109" s="46">
        <f t="shared" si="75"/>
        <v>15.573932557010949</v>
      </c>
      <c r="DB109" s="44">
        <f t="shared" si="51"/>
        <v>1154.6932026469403</v>
      </c>
      <c r="DC109" s="46">
        <f t="shared" si="52"/>
        <v>19.594100396330077</v>
      </c>
      <c r="DD109" s="47">
        <f t="shared" si="53"/>
        <v>48.819659144687854</v>
      </c>
      <c r="DE109" s="46">
        <f t="shared" si="54"/>
        <v>2019.1928532465538</v>
      </c>
      <c r="DF109" s="47">
        <f t="shared" ref="DF109" si="88">DD109</f>
        <v>48.819659144687854</v>
      </c>
      <c r="DG109" s="48" t="e">
        <f t="shared" si="83"/>
        <v>#N/A</v>
      </c>
      <c r="DH109" s="49"/>
      <c r="DI109" s="50" t="str">
        <f t="shared" si="68"/>
        <v/>
      </c>
      <c r="DJ109" s="51">
        <f t="shared" si="62"/>
        <v>1.7293561133251093E-2</v>
      </c>
      <c r="DK109" s="67"/>
      <c r="DL109" s="52">
        <v>52</v>
      </c>
      <c r="DM109" s="4"/>
      <c r="DN109" s="4">
        <f>$S$5</f>
        <v>0</v>
      </c>
      <c r="DO109" s="4"/>
      <c r="DP109" s="4"/>
      <c r="DQ109" s="4"/>
      <c r="DR109" s="18" t="e">
        <f t="shared" si="81"/>
        <v>#N/A</v>
      </c>
      <c r="DS109" s="54">
        <v>5</v>
      </c>
      <c r="DT109" s="55">
        <f t="shared" si="56"/>
        <v>22500</v>
      </c>
      <c r="DU109" s="54">
        <v>20</v>
      </c>
      <c r="DV109" s="54">
        <f t="shared" si="57"/>
        <v>36000</v>
      </c>
      <c r="DW109" s="56">
        <f t="shared" si="58"/>
        <v>8.3500181462286776</v>
      </c>
      <c r="DX109" s="57">
        <v>0.1</v>
      </c>
      <c r="DY109" s="58">
        <f t="shared" si="64"/>
        <v>450</v>
      </c>
      <c r="DZ109" s="65">
        <v>10</v>
      </c>
      <c r="EA109" s="65">
        <f t="shared" si="65"/>
        <v>2060</v>
      </c>
      <c r="EB109" s="58">
        <v>20000</v>
      </c>
      <c r="EC109" s="58">
        <f t="shared" si="59"/>
        <v>44.444444444444443</v>
      </c>
      <c r="ED109" s="57">
        <f t="shared" si="66"/>
        <v>26.571199848858811</v>
      </c>
      <c r="EE109" s="86" t="s">
        <v>53</v>
      </c>
      <c r="EF109" s="87">
        <v>8</v>
      </c>
      <c r="EG109" s="83">
        <v>46320</v>
      </c>
    </row>
    <row r="110" spans="65:137" ht="15">
      <c r="CI110" s="16">
        <v>46321</v>
      </c>
      <c r="CJ110" s="46">
        <v>41</v>
      </c>
      <c r="CK110" s="84">
        <f>AR39</f>
        <v>0</v>
      </c>
      <c r="CL110" s="46">
        <f t="shared" si="41"/>
        <v>2054.1250355824181</v>
      </c>
      <c r="CM110" s="39">
        <f t="shared" si="47"/>
        <v>8.3500181462286776</v>
      </c>
      <c r="CN110" s="40">
        <f t="shared" si="60"/>
        <v>913.31930974430122</v>
      </c>
      <c r="CO110" s="4">
        <f t="shared" si="77"/>
        <v>0</v>
      </c>
      <c r="CP110" s="62">
        <f t="shared" si="78"/>
        <v>0</v>
      </c>
      <c r="CQ110" s="66" t="str">
        <f t="shared" si="79"/>
        <v/>
      </c>
      <c r="CR110" s="66" t="str">
        <f t="shared" si="80"/>
        <v/>
      </c>
      <c r="CS110" s="66" t="str">
        <f t="shared" si="84"/>
        <v/>
      </c>
      <c r="CT110" s="66" t="str">
        <f t="shared" si="86"/>
        <v/>
      </c>
      <c r="CU110" s="43">
        <f t="shared" si="73"/>
        <v>913.31930974430122</v>
      </c>
      <c r="CV110" s="44">
        <f t="shared" si="61"/>
        <v>1154.6932026469403</v>
      </c>
      <c r="CW110" s="44">
        <f t="shared" si="48"/>
        <v>109.37932034995707</v>
      </c>
      <c r="CX110" s="44">
        <f t="shared" si="74"/>
        <v>89.455059347845662</v>
      </c>
      <c r="CY110" s="44">
        <f t="shared" si="49"/>
        <v>35.782023739138253</v>
      </c>
      <c r="CZ110" s="46">
        <f t="shared" si="50"/>
        <v>929.17707248132808</v>
      </c>
      <c r="DA110" s="46">
        <f t="shared" si="75"/>
        <v>15.85776273702686</v>
      </c>
      <c r="DB110" s="44">
        <f t="shared" si="51"/>
        <v>1174.6174636490516</v>
      </c>
      <c r="DC110" s="46">
        <f t="shared" si="52"/>
        <v>19.92426100211128</v>
      </c>
      <c r="DD110" s="47">
        <f t="shared" si="53"/>
        <v>49.669500547961235</v>
      </c>
      <c r="DE110" s="46">
        <f t="shared" si="54"/>
        <v>2054.1250355824181</v>
      </c>
      <c r="DF110" s="47"/>
      <c r="DG110" s="48" t="e">
        <f t="shared" si="83"/>
        <v>#N/A</v>
      </c>
      <c r="DH110" s="49"/>
      <c r="DI110" s="50" t="str">
        <f t="shared" si="68"/>
        <v/>
      </c>
      <c r="DJ110" s="51">
        <f t="shared" si="62"/>
        <v>1.7300072293589361E-2</v>
      </c>
      <c r="DK110" s="67"/>
      <c r="DL110" s="52">
        <v>53</v>
      </c>
      <c r="DM110" s="4">
        <f>$S$5</f>
        <v>0</v>
      </c>
      <c r="DN110" s="4"/>
      <c r="DO110" s="85"/>
      <c r="DP110" s="4"/>
      <c r="DQ110" s="85"/>
      <c r="DR110" s="18" t="e">
        <f t="shared" si="81"/>
        <v>#N/A</v>
      </c>
      <c r="DS110" s="54">
        <v>5</v>
      </c>
      <c r="DT110" s="55">
        <f t="shared" si="56"/>
        <v>22500</v>
      </c>
      <c r="DU110" s="54">
        <v>20</v>
      </c>
      <c r="DV110" s="54">
        <f t="shared" si="57"/>
        <v>36000</v>
      </c>
      <c r="DW110" s="56">
        <f t="shared" si="58"/>
        <v>8.3500181462286776</v>
      </c>
      <c r="DX110" s="65">
        <v>0</v>
      </c>
      <c r="DY110" s="58">
        <f t="shared" si="64"/>
        <v>0</v>
      </c>
      <c r="DZ110" s="65">
        <v>10</v>
      </c>
      <c r="EA110" s="65">
        <f t="shared" si="65"/>
        <v>2065</v>
      </c>
      <c r="EB110" s="58">
        <v>20000</v>
      </c>
      <c r="EC110" s="58" t="e">
        <f t="shared" si="59"/>
        <v>#N/A</v>
      </c>
      <c r="ED110" s="57">
        <v>200</v>
      </c>
      <c r="EE110" s="86" t="s">
        <v>53</v>
      </c>
      <c r="EF110" s="87">
        <v>9</v>
      </c>
      <c r="EG110" s="83">
        <v>46321</v>
      </c>
    </row>
    <row r="111" spans="65:137" ht="15">
      <c r="CI111" s="16">
        <v>46322</v>
      </c>
      <c r="CJ111" s="46">
        <v>42</v>
      </c>
      <c r="CK111" s="84">
        <f>AS39</f>
        <v>0</v>
      </c>
      <c r="CL111" s="46">
        <f t="shared" si="41"/>
        <v>2089.6639079079268</v>
      </c>
      <c r="CM111" s="39">
        <f t="shared" si="47"/>
        <v>8.3500181462286776</v>
      </c>
      <c r="CN111" s="40">
        <f t="shared" si="60"/>
        <v>929.17707248132808</v>
      </c>
      <c r="CO111" s="4">
        <f t="shared" si="77"/>
        <v>0</v>
      </c>
      <c r="CP111" s="62">
        <f t="shared" si="78"/>
        <v>0</v>
      </c>
      <c r="CQ111" s="66" t="str">
        <f t="shared" si="79"/>
        <v/>
      </c>
      <c r="CR111" s="66" t="str">
        <f t="shared" si="80"/>
        <v/>
      </c>
      <c r="CS111" s="66" t="str">
        <f t="shared" si="84"/>
        <v/>
      </c>
      <c r="CT111" s="66" t="str">
        <f t="shared" si="86"/>
        <v/>
      </c>
      <c r="CU111" s="43">
        <f t="shared" si="73"/>
        <v>929.17707248132808</v>
      </c>
      <c r="CV111" s="44">
        <f t="shared" si="61"/>
        <v>1174.6174636490516</v>
      </c>
      <c r="CW111" s="44">
        <f t="shared" si="48"/>
        <v>111.27844948468704</v>
      </c>
      <c r="CX111" s="44">
        <f t="shared" si="74"/>
        <v>90.987985895802424</v>
      </c>
      <c r="CY111" s="44">
        <f t="shared" si="49"/>
        <v>36.395194358320964</v>
      </c>
      <c r="CZ111" s="46">
        <f t="shared" si="50"/>
        <v>945.28180325076448</v>
      </c>
      <c r="DA111" s="46">
        <f t="shared" si="75"/>
        <v>16.104730769436401</v>
      </c>
      <c r="DB111" s="44">
        <f t="shared" si="51"/>
        <v>1194.9079272379363</v>
      </c>
      <c r="DC111" s="46">
        <f t="shared" si="52"/>
        <v>20.290463588884677</v>
      </c>
      <c r="DD111" s="47">
        <f t="shared" si="53"/>
        <v>50.525822580773934</v>
      </c>
      <c r="DE111" s="46">
        <f t="shared" si="54"/>
        <v>2089.6639079079268</v>
      </c>
      <c r="DF111" s="47">
        <f t="shared" ref="DF111" si="89">DD111</f>
        <v>50.525822580773934</v>
      </c>
      <c r="DG111" s="48" t="e">
        <f t="shared" si="83"/>
        <v>#N/A</v>
      </c>
      <c r="DH111" s="49"/>
      <c r="DI111" s="50" t="str">
        <f t="shared" si="68"/>
        <v/>
      </c>
      <c r="DJ111" s="51">
        <f t="shared" si="62"/>
        <v>1.7301221546833515E-2</v>
      </c>
      <c r="DK111" s="38">
        <f>DE111</f>
        <v>2089.6639079079268</v>
      </c>
      <c r="DL111" s="52">
        <v>54</v>
      </c>
      <c r="DM111" s="4"/>
      <c r="DN111" s="4"/>
      <c r="DO111" s="4"/>
      <c r="DP111" s="4"/>
      <c r="DQ111" s="85"/>
      <c r="DR111" s="18" t="e">
        <f t="shared" si="81"/>
        <v>#N/A</v>
      </c>
      <c r="DS111" s="54">
        <v>5</v>
      </c>
      <c r="DT111" s="55">
        <f t="shared" si="56"/>
        <v>22500</v>
      </c>
      <c r="DU111" s="54">
        <v>20</v>
      </c>
      <c r="DV111" s="54">
        <f t="shared" si="57"/>
        <v>36000</v>
      </c>
      <c r="DW111" s="56">
        <f t="shared" si="58"/>
        <v>8.3500181462286776</v>
      </c>
      <c r="DX111" s="65">
        <v>0</v>
      </c>
      <c r="DY111" s="58">
        <f t="shared" si="64"/>
        <v>0</v>
      </c>
      <c r="DZ111" s="65">
        <v>10</v>
      </c>
      <c r="EA111" s="65">
        <f t="shared" si="65"/>
        <v>2070</v>
      </c>
      <c r="EB111" s="58">
        <v>20000</v>
      </c>
      <c r="EC111" s="58" t="e">
        <f t="shared" ref="EC111:EC129" si="90">IF(DY111=0,NA(),EB111/DY111)</f>
        <v>#N/A</v>
      </c>
      <c r="ED111" s="57">
        <v>200</v>
      </c>
      <c r="EE111" s="86" t="s">
        <v>53</v>
      </c>
      <c r="EF111" s="87">
        <v>10</v>
      </c>
      <c r="EG111" s="83">
        <v>46322</v>
      </c>
    </row>
    <row r="112" spans="65:137" ht="15">
      <c r="CI112" s="16">
        <v>46323</v>
      </c>
      <c r="CJ112" s="46">
        <v>43</v>
      </c>
      <c r="CK112" s="84">
        <f>AT39</f>
        <v>1</v>
      </c>
      <c r="CL112" s="46">
        <f t="shared" si="41"/>
        <v>2125.8100487675893</v>
      </c>
      <c r="CM112" s="39">
        <f t="shared" si="47"/>
        <v>8.3500181462286776</v>
      </c>
      <c r="CN112" s="40">
        <f t="shared" si="60"/>
        <v>945.28180325076448</v>
      </c>
      <c r="CO112" s="4">
        <f t="shared" si="77"/>
        <v>0</v>
      </c>
      <c r="CP112" s="62">
        <f t="shared" si="78"/>
        <v>0</v>
      </c>
      <c r="CQ112" s="66" t="str">
        <f t="shared" si="79"/>
        <v/>
      </c>
      <c r="CR112" s="66" t="str">
        <f t="shared" si="80"/>
        <v/>
      </c>
      <c r="CS112" s="66" t="str">
        <f t="shared" si="84"/>
        <v/>
      </c>
      <c r="CT112" s="66" t="str">
        <f t="shared" si="86"/>
        <v/>
      </c>
      <c r="CU112" s="43">
        <f t="shared" si="73"/>
        <v>945.28180325076448</v>
      </c>
      <c r="CV112" s="44">
        <f t="shared" si="61"/>
        <v>1194.9079272379363</v>
      </c>
      <c r="CW112" s="44">
        <f t="shared" si="48"/>
        <v>113.20715556500978</v>
      </c>
      <c r="CX112" s="44">
        <f t="shared" si="74"/>
        <v>92.523633601572797</v>
      </c>
      <c r="CY112" s="44">
        <f t="shared" si="49"/>
        <v>37.009453440629116</v>
      </c>
      <c r="CZ112" s="46">
        <f t="shared" si="50"/>
        <v>961.60773472795665</v>
      </c>
      <c r="DA112" s="46">
        <f t="shared" si="75"/>
        <v>16.325931477192171</v>
      </c>
      <c r="DB112" s="44">
        <f t="shared" si="51"/>
        <v>1215.5914492013733</v>
      </c>
      <c r="DC112" s="46">
        <f t="shared" si="52"/>
        <v>20.683521963436988</v>
      </c>
      <c r="DD112" s="47">
        <f t="shared" si="53"/>
        <v>51.38913516174096</v>
      </c>
      <c r="DE112" s="46">
        <f t="shared" si="54"/>
        <v>2125.8100487675893</v>
      </c>
      <c r="DF112" s="47"/>
      <c r="DG112" s="48" t="e">
        <f t="shared" si="83"/>
        <v>#N/A</v>
      </c>
      <c r="DH112" s="49"/>
      <c r="DI112" s="50" t="str">
        <f t="shared" si="68"/>
        <v/>
      </c>
      <c r="DJ112" s="51">
        <f t="shared" si="62"/>
        <v>1.7297585857167924E-2</v>
      </c>
      <c r="DK112" s="67"/>
      <c r="DL112" s="52">
        <v>55</v>
      </c>
      <c r="DM112" s="4"/>
      <c r="DN112" s="4"/>
      <c r="DO112" s="4">
        <f>$S$5</f>
        <v>0</v>
      </c>
      <c r="DP112" s="4"/>
      <c r="DQ112" s="4">
        <f>$S$5</f>
        <v>0</v>
      </c>
      <c r="DR112" s="18" t="e">
        <f t="shared" si="81"/>
        <v>#N/A</v>
      </c>
      <c r="DS112" s="54">
        <v>5</v>
      </c>
      <c r="DT112" s="55">
        <f t="shared" si="56"/>
        <v>22500</v>
      </c>
      <c r="DU112" s="54">
        <v>20</v>
      </c>
      <c r="DV112" s="54">
        <f t="shared" si="57"/>
        <v>36000</v>
      </c>
      <c r="DW112" s="56">
        <f t="shared" si="58"/>
        <v>8.3500181462286776</v>
      </c>
      <c r="DX112" s="65">
        <v>0</v>
      </c>
      <c r="DY112" s="58">
        <f t="shared" si="64"/>
        <v>0</v>
      </c>
      <c r="DZ112" s="65">
        <v>10</v>
      </c>
      <c r="EA112" s="65">
        <f t="shared" si="65"/>
        <v>2075</v>
      </c>
      <c r="EB112" s="58">
        <v>20000</v>
      </c>
      <c r="EC112" s="58" t="e">
        <f t="shared" si="90"/>
        <v>#N/A</v>
      </c>
      <c r="ED112" s="57">
        <v>200</v>
      </c>
      <c r="EE112" s="86" t="s">
        <v>53</v>
      </c>
      <c r="EF112" s="87">
        <v>11</v>
      </c>
      <c r="EG112" s="83">
        <v>46323</v>
      </c>
    </row>
    <row r="113" spans="87:137" ht="15">
      <c r="CI113" s="16">
        <v>46324</v>
      </c>
      <c r="CJ113" s="46">
        <v>44</v>
      </c>
      <c r="CK113" s="84">
        <f>AU39</f>
        <v>0</v>
      </c>
      <c r="CL113" s="46">
        <f t="shared" si="41"/>
        <v>2162.565849774619</v>
      </c>
      <c r="CM113" s="39">
        <f t="shared" si="47"/>
        <v>8.3500181462286776</v>
      </c>
      <c r="CN113" s="40">
        <f t="shared" si="60"/>
        <v>961.60773472795665</v>
      </c>
      <c r="CO113" s="4">
        <f t="shared" si="77"/>
        <v>0</v>
      </c>
      <c r="CP113" s="62">
        <f t="shared" si="78"/>
        <v>0</v>
      </c>
      <c r="CQ113" s="66" t="str">
        <f t="shared" si="79"/>
        <v/>
      </c>
      <c r="CR113" s="66" t="str">
        <f t="shared" si="80"/>
        <v/>
      </c>
      <c r="CS113" s="66" t="str">
        <f t="shared" si="84"/>
        <v/>
      </c>
      <c r="CT113" s="66" t="str">
        <f t="shared" si="86"/>
        <v/>
      </c>
      <c r="CU113" s="43">
        <f t="shared" si="73"/>
        <v>961.60773472795665</v>
      </c>
      <c r="CV113" s="44">
        <f t="shared" si="61"/>
        <v>1215.5914492013733</v>
      </c>
      <c r="CW113" s="44">
        <f t="shared" si="48"/>
        <v>115.16235269048738</v>
      </c>
      <c r="CX113" s="44">
        <f t="shared" si="74"/>
        <v>94.068592134882138</v>
      </c>
      <c r="CY113" s="44">
        <f t="shared" si="49"/>
        <v>37.627436853952858</v>
      </c>
      <c r="CZ113" s="46">
        <f t="shared" si="50"/>
        <v>978.14141102630424</v>
      </c>
      <c r="DA113" s="46">
        <f t="shared" si="75"/>
        <v>16.533676298347586</v>
      </c>
      <c r="DB113" s="44">
        <f t="shared" si="51"/>
        <v>1236.6852097569783</v>
      </c>
      <c r="DC113" s="46">
        <f t="shared" si="52"/>
        <v>21.093760555605058</v>
      </c>
      <c r="DD113" s="47">
        <f t="shared" si="53"/>
        <v>52.260771008663568</v>
      </c>
      <c r="DE113" s="46">
        <f t="shared" si="54"/>
        <v>2162.565849774619</v>
      </c>
      <c r="DF113" s="47">
        <f t="shared" ref="DF113" si="91">DD113</f>
        <v>52.260771008663568</v>
      </c>
      <c r="DG113" s="48" t="e">
        <f t="shared" si="83"/>
        <v>#N/A</v>
      </c>
      <c r="DH113" s="49"/>
      <c r="DI113" s="50" t="str">
        <f t="shared" si="68"/>
        <v/>
      </c>
      <c r="DJ113" s="51">
        <f t="shared" si="62"/>
        <v>1.729025649697085E-2</v>
      </c>
      <c r="DK113" s="67"/>
      <c r="DL113" s="52">
        <v>56</v>
      </c>
      <c r="DM113" s="4"/>
      <c r="DN113" s="4"/>
      <c r="DO113" s="4"/>
      <c r="DP113" s="85"/>
      <c r="DQ113" s="4"/>
      <c r="DR113" s="18" t="e">
        <f t="shared" si="81"/>
        <v>#N/A</v>
      </c>
      <c r="DS113" s="54">
        <v>5</v>
      </c>
      <c r="DT113" s="55">
        <f t="shared" si="56"/>
        <v>22500</v>
      </c>
      <c r="DU113" s="54">
        <v>20</v>
      </c>
      <c r="DV113" s="54">
        <f t="shared" si="57"/>
        <v>36000</v>
      </c>
      <c r="DW113" s="56">
        <f t="shared" si="58"/>
        <v>8.3500181462286776</v>
      </c>
      <c r="DX113" s="65">
        <v>0</v>
      </c>
      <c r="DY113" s="58">
        <f t="shared" si="64"/>
        <v>0</v>
      </c>
      <c r="DZ113" s="65">
        <v>10</v>
      </c>
      <c r="EA113" s="65">
        <f t="shared" si="65"/>
        <v>2080</v>
      </c>
      <c r="EB113" s="58">
        <v>20000</v>
      </c>
      <c r="EC113" s="58" t="e">
        <f t="shared" si="90"/>
        <v>#N/A</v>
      </c>
      <c r="ED113" s="57">
        <v>200</v>
      </c>
      <c r="EE113" s="86" t="s">
        <v>53</v>
      </c>
      <c r="EF113" s="87">
        <v>12</v>
      </c>
      <c r="EG113" s="83">
        <v>46324</v>
      </c>
    </row>
    <row r="114" spans="87:137" ht="15">
      <c r="CI114" s="16">
        <v>46325</v>
      </c>
      <c r="CJ114" s="46">
        <v>45</v>
      </c>
      <c r="CK114" s="84">
        <f>AV39</f>
        <v>0</v>
      </c>
      <c r="CL114" s="46">
        <f t="shared" si="41"/>
        <v>2199.9360917002286</v>
      </c>
      <c r="CM114" s="39">
        <f t="shared" si="47"/>
        <v>8.3500181462286776</v>
      </c>
      <c r="CN114" s="40">
        <f t="shared" si="60"/>
        <v>978.14141102630424</v>
      </c>
      <c r="CO114" s="4">
        <f t="shared" si="77"/>
        <v>0</v>
      </c>
      <c r="CP114" s="62">
        <f t="shared" si="78"/>
        <v>0</v>
      </c>
      <c r="CQ114" s="66" t="str">
        <f t="shared" si="79"/>
        <v/>
      </c>
      <c r="CR114" s="66" t="str">
        <f t="shared" si="80"/>
        <v/>
      </c>
      <c r="CS114" s="66" t="str">
        <f t="shared" si="84"/>
        <v/>
      </c>
      <c r="CT114" s="66" t="str">
        <f t="shared" si="86"/>
        <v/>
      </c>
      <c r="CU114" s="43">
        <f t="shared" si="73"/>
        <v>978.14141102630424</v>
      </c>
      <c r="CV114" s="44">
        <f t="shared" si="61"/>
        <v>1236.6852097569783</v>
      </c>
      <c r="CW114" s="44">
        <f t="shared" si="48"/>
        <v>117.14242938119675</v>
      </c>
      <c r="CX114" s="44">
        <f t="shared" si="74"/>
        <v>95.630061926035893</v>
      </c>
      <c r="CY114" s="44">
        <f t="shared" si="49"/>
        <v>38.252024770414351</v>
      </c>
      <c r="CZ114" s="46">
        <f t="shared" si="50"/>
        <v>994.88106834155769</v>
      </c>
      <c r="DA114" s="46">
        <f t="shared" si="75"/>
        <v>16.739657315253453</v>
      </c>
      <c r="DB114" s="44">
        <f t="shared" si="51"/>
        <v>1258.1975772121391</v>
      </c>
      <c r="DC114" s="46">
        <f t="shared" si="52"/>
        <v>21.512367455160756</v>
      </c>
      <c r="DD114" s="47">
        <f t="shared" si="53"/>
        <v>53.142553853468371</v>
      </c>
      <c r="DE114" s="46">
        <f t="shared" si="54"/>
        <v>2199.9360917002286</v>
      </c>
      <c r="DF114" s="47"/>
      <c r="DG114" s="48" t="e">
        <f t="shared" si="83"/>
        <v>#N/A</v>
      </c>
      <c r="DH114" s="49"/>
      <c r="DI114" s="50" t="str">
        <f t="shared" si="68"/>
        <v/>
      </c>
      <c r="DJ114" s="51">
        <f t="shared" si="62"/>
        <v>1.7280510523878086E-2</v>
      </c>
      <c r="DK114" s="38"/>
      <c r="DL114" s="52">
        <v>57</v>
      </c>
      <c r="DM114" s="4">
        <f>$S$5</f>
        <v>0</v>
      </c>
      <c r="DN114" s="4">
        <f>$S$5</f>
        <v>0</v>
      </c>
      <c r="DO114" s="4"/>
      <c r="DP114" s="4"/>
      <c r="DQ114" s="4"/>
      <c r="DR114" s="18" t="e">
        <f t="shared" si="81"/>
        <v>#N/A</v>
      </c>
      <c r="DS114" s="54">
        <v>5</v>
      </c>
      <c r="DT114" s="55">
        <f t="shared" si="56"/>
        <v>22500</v>
      </c>
      <c r="DU114" s="54">
        <v>20</v>
      </c>
      <c r="DV114" s="54">
        <f t="shared" si="57"/>
        <v>36000</v>
      </c>
      <c r="DW114" s="56">
        <f t="shared" si="58"/>
        <v>8.3500181462286776</v>
      </c>
      <c r="DX114" s="65">
        <v>0</v>
      </c>
      <c r="DY114" s="58">
        <f t="shared" si="64"/>
        <v>0</v>
      </c>
      <c r="DZ114" s="65">
        <v>10</v>
      </c>
      <c r="EA114" s="65">
        <f t="shared" si="65"/>
        <v>2085</v>
      </c>
      <c r="EB114" s="58">
        <v>20000</v>
      </c>
      <c r="EC114" s="58" t="e">
        <f t="shared" si="90"/>
        <v>#N/A</v>
      </c>
      <c r="ED114" s="57">
        <v>200</v>
      </c>
      <c r="EE114" s="86" t="s">
        <v>53</v>
      </c>
      <c r="EF114" s="87">
        <v>13</v>
      </c>
      <c r="EG114" s="83">
        <v>46325</v>
      </c>
    </row>
    <row r="115" spans="87:137" ht="15">
      <c r="CI115" s="16">
        <v>46326</v>
      </c>
      <c r="CJ115" s="46">
        <v>46</v>
      </c>
      <c r="CK115" s="84">
        <f>AW39</f>
        <v>0</v>
      </c>
      <c r="CL115" s="46">
        <f t="shared" si="41"/>
        <v>2237.9281278463359</v>
      </c>
      <c r="CM115" s="39">
        <f t="shared" si="47"/>
        <v>8.3500181462286776</v>
      </c>
      <c r="CN115" s="40">
        <f t="shared" si="60"/>
        <v>994.88106834155769</v>
      </c>
      <c r="CO115" s="4">
        <f t="shared" si="77"/>
        <v>0</v>
      </c>
      <c r="CP115" s="62">
        <f t="shared" si="78"/>
        <v>0</v>
      </c>
      <c r="CQ115" s="66" t="str">
        <f t="shared" si="79"/>
        <v/>
      </c>
      <c r="CR115" s="66" t="str">
        <f t="shared" si="80"/>
        <v/>
      </c>
      <c r="CS115" s="66" t="str">
        <f t="shared" si="84"/>
        <v/>
      </c>
      <c r="CT115" s="66" t="str">
        <f t="shared" si="86"/>
        <v/>
      </c>
      <c r="CU115" s="43">
        <f t="shared" si="73"/>
        <v>994.88106834155769</v>
      </c>
      <c r="CV115" s="44">
        <f t="shared" si="61"/>
        <v>1258.1975772121391</v>
      </c>
      <c r="CW115" s="44">
        <f t="shared" si="48"/>
        <v>119.14717440355506</v>
      </c>
      <c r="CX115" s="44">
        <f t="shared" si="74"/>
        <v>97.2150900117812</v>
      </c>
      <c r="CY115" s="44">
        <f t="shared" si="49"/>
        <v>38.88603600471248</v>
      </c>
      <c r="CZ115" s="46">
        <f t="shared" si="50"/>
        <v>1011.8350199544964</v>
      </c>
      <c r="DA115" s="46">
        <f t="shared" si="75"/>
        <v>16.953951612938681</v>
      </c>
      <c r="DB115" s="44">
        <f t="shared" si="51"/>
        <v>1280.1296616039128</v>
      </c>
      <c r="DC115" s="46">
        <f t="shared" si="52"/>
        <v>21.932084391773742</v>
      </c>
      <c r="DD115" s="47">
        <f t="shared" si="53"/>
        <v>54.036553712073307</v>
      </c>
      <c r="DE115" s="46">
        <f t="shared" si="54"/>
        <v>2237.9281278463359</v>
      </c>
      <c r="DF115" s="47">
        <f t="shared" ref="DF115" si="92">DD115</f>
        <v>54.036553712073307</v>
      </c>
      <c r="DG115" s="48" t="e">
        <f t="shared" si="83"/>
        <v>#N/A</v>
      </c>
      <c r="DH115" s="49"/>
      <c r="DI115" s="50" t="str">
        <f t="shared" si="68"/>
        <v/>
      </c>
      <c r="DJ115" s="51">
        <f t="shared" si="62"/>
        <v>1.7269609007934842E-2</v>
      </c>
      <c r="DK115" s="67"/>
      <c r="DL115" s="52">
        <v>57</v>
      </c>
      <c r="DM115" s="4"/>
      <c r="DN115" s="4"/>
      <c r="DO115" s="4"/>
      <c r="DP115" s="85"/>
      <c r="DQ115" s="4"/>
      <c r="DR115" s="18" t="e">
        <f t="shared" si="81"/>
        <v>#N/A</v>
      </c>
      <c r="DS115" s="54">
        <v>5</v>
      </c>
      <c r="DT115" s="55">
        <f t="shared" si="56"/>
        <v>22500</v>
      </c>
      <c r="DU115" s="54">
        <v>20</v>
      </c>
      <c r="DV115" s="54">
        <f t="shared" si="57"/>
        <v>36000</v>
      </c>
      <c r="DW115" s="56">
        <f t="shared" si="58"/>
        <v>8.3500181462286776</v>
      </c>
      <c r="DX115" s="65">
        <v>0</v>
      </c>
      <c r="DY115" s="58">
        <f t="shared" si="64"/>
        <v>0</v>
      </c>
      <c r="DZ115" s="65">
        <v>11</v>
      </c>
      <c r="EA115" s="65">
        <f t="shared" si="65"/>
        <v>2090</v>
      </c>
      <c r="EB115" s="58">
        <v>20000</v>
      </c>
      <c r="EC115" s="58" t="e">
        <f t="shared" si="90"/>
        <v>#N/A</v>
      </c>
      <c r="ED115" s="57">
        <v>200</v>
      </c>
      <c r="EE115" s="86" t="s">
        <v>53</v>
      </c>
      <c r="EF115" s="87">
        <v>14</v>
      </c>
      <c r="EG115" s="83">
        <v>46326</v>
      </c>
    </row>
    <row r="116" spans="87:137" ht="15">
      <c r="CI116" s="16">
        <v>46327</v>
      </c>
      <c r="CJ116" s="46">
        <v>47</v>
      </c>
      <c r="CK116" s="84">
        <f>AX39</f>
        <v>0</v>
      </c>
      <c r="CL116" s="46">
        <f t="shared" si="41"/>
        <v>2276.5518178387256</v>
      </c>
      <c r="CM116" s="39">
        <f t="shared" si="47"/>
        <v>8.3500181462286776</v>
      </c>
      <c r="CN116" s="40">
        <f t="shared" si="60"/>
        <v>1011.8350199544964</v>
      </c>
      <c r="CO116" s="4">
        <f t="shared" si="77"/>
        <v>0</v>
      </c>
      <c r="CP116" s="62">
        <f t="shared" si="78"/>
        <v>0</v>
      </c>
      <c r="CQ116" s="66" t="str">
        <f t="shared" si="79"/>
        <v/>
      </c>
      <c r="CR116" s="66" t="str">
        <f t="shared" si="80"/>
        <v/>
      </c>
      <c r="CS116" s="66" t="str">
        <f t="shared" si="84"/>
        <v/>
      </c>
      <c r="CT116" s="66" t="str">
        <f t="shared" si="86"/>
        <v/>
      </c>
      <c r="CU116" s="43">
        <f t="shared" si="73"/>
        <v>1011.8350199544964</v>
      </c>
      <c r="CV116" s="44">
        <f t="shared" si="61"/>
        <v>1280.1296616039128</v>
      </c>
      <c r="CW116" s="44">
        <f t="shared" si="48"/>
        <v>121.1775833578872</v>
      </c>
      <c r="CX116" s="44">
        <f t="shared" si="74"/>
        <v>98.830117791790883</v>
      </c>
      <c r="CY116" s="44">
        <f t="shared" si="49"/>
        <v>39.532047116716342</v>
      </c>
      <c r="CZ116" s="46">
        <f t="shared" si="50"/>
        <v>1029.0196015051163</v>
      </c>
      <c r="DA116" s="46">
        <f t="shared" si="75"/>
        <v>17.184581550619896</v>
      </c>
      <c r="DB116" s="44">
        <f t="shared" si="51"/>
        <v>1302.4771271700092</v>
      </c>
      <c r="DC116" s="46">
        <f t="shared" si="52"/>
        <v>22.347465566096389</v>
      </c>
      <c r="DD116" s="47">
        <f t="shared" si="53"/>
        <v>54.944910836399679</v>
      </c>
      <c r="DE116" s="46">
        <f t="shared" si="54"/>
        <v>2276.5518178387256</v>
      </c>
      <c r="DF116" s="47"/>
      <c r="DG116" s="48" t="e">
        <f t="shared" si="83"/>
        <v>#N/A</v>
      </c>
      <c r="DH116" s="49"/>
      <c r="DI116" s="50" t="str">
        <f t="shared" si="68"/>
        <v/>
      </c>
      <c r="DJ116" s="51">
        <f t="shared" si="62"/>
        <v>1.7258682042465369E-2</v>
      </c>
      <c r="DK116" s="67"/>
      <c r="DL116" s="52">
        <v>57</v>
      </c>
      <c r="DM116" s="4"/>
      <c r="DN116" s="4"/>
      <c r="DO116" s="4"/>
      <c r="DP116" s="4"/>
      <c r="DQ116" s="85"/>
      <c r="DR116" s="18" t="e">
        <f t="shared" si="81"/>
        <v>#N/A</v>
      </c>
      <c r="DS116" s="54">
        <v>5</v>
      </c>
      <c r="DT116" s="55">
        <f t="shared" si="56"/>
        <v>22500</v>
      </c>
      <c r="DU116" s="54">
        <v>20</v>
      </c>
      <c r="DV116" s="54">
        <f t="shared" si="57"/>
        <v>36000</v>
      </c>
      <c r="DW116" s="56">
        <f t="shared" si="58"/>
        <v>8.3500181462286776</v>
      </c>
      <c r="DX116" s="65">
        <v>0</v>
      </c>
      <c r="DY116" s="58">
        <f t="shared" si="64"/>
        <v>0</v>
      </c>
      <c r="DZ116" s="65">
        <v>12</v>
      </c>
      <c r="EA116" s="65">
        <f t="shared" si="65"/>
        <v>2095</v>
      </c>
      <c r="EB116" s="58">
        <v>20000</v>
      </c>
      <c r="EC116" s="58" t="e">
        <f t="shared" si="90"/>
        <v>#N/A</v>
      </c>
      <c r="ED116" s="57">
        <v>200</v>
      </c>
      <c r="EE116" s="86" t="s">
        <v>53</v>
      </c>
      <c r="EF116" s="87">
        <v>15</v>
      </c>
      <c r="EG116" s="83">
        <v>46327</v>
      </c>
    </row>
    <row r="117" spans="87:137" ht="15">
      <c r="CI117" s="16">
        <v>46328</v>
      </c>
      <c r="CJ117" s="46">
        <v>48</v>
      </c>
      <c r="CK117" s="84">
        <f>AY39</f>
        <v>0</v>
      </c>
      <c r="CL117" s="46">
        <f t="shared" si="41"/>
        <v>2315.8193130589357</v>
      </c>
      <c r="CM117" s="39">
        <f t="shared" si="47"/>
        <v>8.3500181462286776</v>
      </c>
      <c r="CN117" s="40">
        <f>IF(CZ116&lt;10,10,CZ116)</f>
        <v>1029.0196015051163</v>
      </c>
      <c r="CO117" s="4">
        <f t="shared" si="77"/>
        <v>0</v>
      </c>
      <c r="CP117" s="62">
        <f t="shared" si="78"/>
        <v>0</v>
      </c>
      <c r="CQ117" s="66" t="str">
        <f t="shared" si="79"/>
        <v/>
      </c>
      <c r="CR117" s="66" t="str">
        <f t="shared" si="80"/>
        <v/>
      </c>
      <c r="CS117" s="66" t="str">
        <f t="shared" si="84"/>
        <v/>
      </c>
      <c r="CT117" s="66" t="str">
        <f t="shared" si="86"/>
        <v/>
      </c>
      <c r="CU117" s="43">
        <f t="shared" si="73"/>
        <v>1029.0196015051163</v>
      </c>
      <c r="CV117" s="44">
        <f t="shared" si="61"/>
        <v>1302.4771271700092</v>
      </c>
      <c r="CW117" s="44">
        <f t="shared" si="48"/>
        <v>123.23561260401303</v>
      </c>
      <c r="CX117" s="44">
        <f t="shared" si="74"/>
        <v>100.48074421438238</v>
      </c>
      <c r="CY117" s="44">
        <f t="shared" si="49"/>
        <v>40.192297685752948</v>
      </c>
      <c r="CZ117" s="46">
        <f t="shared" si="50"/>
        <v>1046.4570308012387</v>
      </c>
      <c r="DA117" s="46">
        <f t="shared" si="75"/>
        <v>17.437429296122446</v>
      </c>
      <c r="DB117" s="44">
        <f t="shared" si="51"/>
        <v>1325.2319955596399</v>
      </c>
      <c r="DC117" s="46">
        <f t="shared" si="52"/>
        <v>22.754868389630701</v>
      </c>
      <c r="DD117" s="47">
        <f t="shared" si="53"/>
        <v>55.869713301942625</v>
      </c>
      <c r="DE117" s="46">
        <f t="shared" si="54"/>
        <v>2315.8193130589357</v>
      </c>
      <c r="DF117" s="47">
        <f t="shared" ref="DF117" si="93">DD117</f>
        <v>55.869713301942625</v>
      </c>
      <c r="DG117" s="48" t="e">
        <f t="shared" si="83"/>
        <v>#N/A</v>
      </c>
      <c r="DH117" s="49"/>
      <c r="DI117" s="50" t="str">
        <f t="shared" si="68"/>
        <v/>
      </c>
      <c r="DJ117" s="51">
        <f t="shared" si="62"/>
        <v>1.7248671834533161E-2</v>
      </c>
      <c r="DK117" s="38">
        <f>DE117</f>
        <v>2315.8193130589357</v>
      </c>
      <c r="DL117" s="52">
        <v>57</v>
      </c>
      <c r="DM117" s="4"/>
      <c r="DN117" s="4"/>
      <c r="DO117" s="85"/>
      <c r="DP117" s="4"/>
      <c r="DQ117" s="4"/>
      <c r="DR117" s="18" t="e">
        <f t="shared" si="81"/>
        <v>#N/A</v>
      </c>
      <c r="DS117" s="54">
        <v>5</v>
      </c>
      <c r="DT117" s="55">
        <f t="shared" si="56"/>
        <v>22500</v>
      </c>
      <c r="DU117" s="54">
        <v>20</v>
      </c>
      <c r="DV117" s="54">
        <f t="shared" si="57"/>
        <v>36000</v>
      </c>
      <c r="DW117" s="56">
        <f t="shared" si="58"/>
        <v>8.3500181462286776</v>
      </c>
      <c r="DX117" s="65">
        <v>0</v>
      </c>
      <c r="DY117" s="58">
        <f t="shared" si="64"/>
        <v>0</v>
      </c>
      <c r="DZ117" s="65">
        <v>13</v>
      </c>
      <c r="EA117" s="65">
        <f t="shared" si="65"/>
        <v>2100</v>
      </c>
      <c r="EB117" s="58">
        <v>20000</v>
      </c>
      <c r="EC117" s="58" t="e">
        <f t="shared" si="90"/>
        <v>#N/A</v>
      </c>
      <c r="ED117" s="57">
        <v>200</v>
      </c>
      <c r="EE117" s="86" t="s">
        <v>53</v>
      </c>
      <c r="EF117" s="87">
        <v>16</v>
      </c>
      <c r="EG117" s="83">
        <v>46328</v>
      </c>
    </row>
    <row r="118" spans="87:137" ht="15">
      <c r="CI118" s="16">
        <v>46329</v>
      </c>
      <c r="CJ118" s="46">
        <v>49</v>
      </c>
      <c r="CK118" s="84">
        <f>AZ39</f>
        <v>0</v>
      </c>
      <c r="CL118" s="46">
        <f t="shared" si="41"/>
        <v>2355.7447639973498</v>
      </c>
      <c r="CM118" s="39">
        <f t="shared" si="47"/>
        <v>8.3500181462286776</v>
      </c>
      <c r="CN118" s="40">
        <f t="shared" si="60"/>
        <v>1046.4570308012387</v>
      </c>
      <c r="CO118" s="4">
        <f t="shared" si="77"/>
        <v>0</v>
      </c>
      <c r="CP118" s="62">
        <f t="shared" si="78"/>
        <v>0</v>
      </c>
      <c r="CQ118" s="66" t="str">
        <f t="shared" si="79"/>
        <v/>
      </c>
      <c r="CR118" s="66" t="str">
        <f t="shared" si="80"/>
        <v/>
      </c>
      <c r="CS118" s="66" t="str">
        <f t="shared" si="84"/>
        <v/>
      </c>
      <c r="CT118" s="66" t="str">
        <f t="shared" si="86"/>
        <v/>
      </c>
      <c r="CU118" s="43">
        <f t="shared" si="73"/>
        <v>1046.4570308012387</v>
      </c>
      <c r="CV118" s="44">
        <f t="shared" si="61"/>
        <v>1325.2319955596399</v>
      </c>
      <c r="CW118" s="44">
        <f t="shared" si="48"/>
        <v>125.32392295145797</v>
      </c>
      <c r="CX118" s="44">
        <f t="shared" si="74"/>
        <v>102.17163406501764</v>
      </c>
      <c r="CY118" s="44">
        <f t="shared" si="49"/>
        <v>40.86865362600706</v>
      </c>
      <c r="CZ118" s="46">
        <f t="shared" si="50"/>
        <v>1064.1733955408056</v>
      </c>
      <c r="DA118" s="46">
        <f t="shared" si="75"/>
        <v>17.71636473956687</v>
      </c>
      <c r="DB118" s="44">
        <f t="shared" si="51"/>
        <v>1348.3842844460803</v>
      </c>
      <c r="DC118" s="46">
        <f t="shared" si="52"/>
        <v>23.152288886440374</v>
      </c>
      <c r="DD118" s="47">
        <f t="shared" si="53"/>
        <v>56.812915989536265</v>
      </c>
      <c r="DE118" s="46">
        <f t="shared" si="54"/>
        <v>2355.7447639973498</v>
      </c>
      <c r="DF118" s="47"/>
      <c r="DG118" s="48" t="e">
        <f t="shared" si="83"/>
        <v>#N/A</v>
      </c>
      <c r="DH118" s="49">
        <f>IF($S$3="F",315*CZ118/EB118,315*CZ118/DV118)</f>
        <v>9.3115172109820499</v>
      </c>
      <c r="DI118" s="50" t="str">
        <f t="shared" si="68"/>
        <v/>
      </c>
      <c r="DJ118" s="51">
        <f t="shared" si="62"/>
        <v>1.7240313487876167E-2</v>
      </c>
      <c r="DK118" s="67"/>
      <c r="DL118" s="52">
        <v>57</v>
      </c>
      <c r="DM118" s="4">
        <f>$S$5</f>
        <v>0</v>
      </c>
      <c r="DN118" s="4"/>
      <c r="DO118" s="4"/>
      <c r="DP118" s="4">
        <f>$S$5</f>
        <v>0</v>
      </c>
      <c r="DQ118" s="85"/>
      <c r="DR118" s="18" t="e">
        <f t="shared" si="81"/>
        <v>#N/A</v>
      </c>
      <c r="DS118" s="54">
        <v>5</v>
      </c>
      <c r="DT118" s="55">
        <f t="shared" si="56"/>
        <v>22500</v>
      </c>
      <c r="DU118" s="54">
        <v>20</v>
      </c>
      <c r="DV118" s="54">
        <f t="shared" si="57"/>
        <v>36000</v>
      </c>
      <c r="DW118" s="56">
        <f t="shared" si="58"/>
        <v>8.3500181462286776</v>
      </c>
      <c r="DX118" s="65">
        <v>0</v>
      </c>
      <c r="DY118" s="58">
        <f t="shared" si="64"/>
        <v>0</v>
      </c>
      <c r="DZ118" s="65">
        <v>14</v>
      </c>
      <c r="EA118" s="65">
        <f t="shared" si="65"/>
        <v>2105</v>
      </c>
      <c r="EB118" s="58">
        <v>20000</v>
      </c>
      <c r="EC118" s="58" t="e">
        <f t="shared" si="90"/>
        <v>#N/A</v>
      </c>
      <c r="ED118" s="57">
        <v>200</v>
      </c>
      <c r="EE118" s="86" t="s">
        <v>53</v>
      </c>
      <c r="EF118" s="87">
        <v>17</v>
      </c>
      <c r="EG118" s="83">
        <v>46329</v>
      </c>
    </row>
    <row r="119" spans="87:137" ht="15">
      <c r="CI119" s="16">
        <v>46330</v>
      </c>
      <c r="CJ119" s="46">
        <v>50</v>
      </c>
      <c r="CK119" s="84">
        <f>BA39</f>
        <v>0</v>
      </c>
      <c r="CL119" s="46">
        <f t="shared" si="41"/>
        <v>2396.343997159252</v>
      </c>
      <c r="CM119" s="39">
        <f t="shared" si="47"/>
        <v>8.3500181462286776</v>
      </c>
      <c r="CN119" s="40">
        <f t="shared" si="60"/>
        <v>1064.1733955408056</v>
      </c>
      <c r="CO119" s="4">
        <f t="shared" si="77"/>
        <v>0</v>
      </c>
      <c r="CP119" s="62">
        <f t="shared" si="78"/>
        <v>0</v>
      </c>
      <c r="CQ119" s="66" t="str">
        <f t="shared" si="79"/>
        <v/>
      </c>
      <c r="CR119" s="66" t="str">
        <f t="shared" si="80"/>
        <v/>
      </c>
      <c r="CS119" s="66" t="str">
        <f t="shared" si="84"/>
        <v/>
      </c>
      <c r="CT119" s="66" t="str">
        <f t="shared" si="86"/>
        <v/>
      </c>
      <c r="CU119" s="43">
        <f t="shared" si="73"/>
        <v>1064.1733955408056</v>
      </c>
      <c r="CV119" s="44">
        <f t="shared" si="61"/>
        <v>1348.3842844460803</v>
      </c>
      <c r="CW119" s="44">
        <f t="shared" si="48"/>
        <v>127.44563866863501</v>
      </c>
      <c r="CX119" s="44">
        <f t="shared" si="74"/>
        <v>103.90652060885886</v>
      </c>
      <c r="CY119" s="44">
        <f t="shared" si="49"/>
        <v>41.562608243543522</v>
      </c>
      <c r="CZ119" s="46">
        <f t="shared" si="50"/>
        <v>1082.1968857245731</v>
      </c>
      <c r="DA119" s="46">
        <f t="shared" si="75"/>
        <v>18.023490183767535</v>
      </c>
      <c r="DB119" s="44">
        <f t="shared" si="51"/>
        <v>1371.9234025058563</v>
      </c>
      <c r="DC119" s="46">
        <f t="shared" si="52"/>
        <v>23.539118059776001</v>
      </c>
      <c r="DD119" s="47">
        <f t="shared" si="53"/>
        <v>57.776291071177802</v>
      </c>
      <c r="DE119" s="46">
        <f t="shared" si="54"/>
        <v>2396.343997159252</v>
      </c>
      <c r="DF119" s="47">
        <f t="shared" ref="DF119" si="94">DD119</f>
        <v>57.776291071177802</v>
      </c>
      <c r="DG119" s="48" t="e">
        <f t="shared" si="83"/>
        <v>#N/A</v>
      </c>
      <c r="DH119" s="49">
        <f>IF($S$3="F",315*CZ119/EB119,315*CZ119/DV119)</f>
        <v>9.4692227500900135</v>
      </c>
      <c r="DI119" s="50" t="str">
        <f t="shared" si="68"/>
        <v/>
      </c>
      <c r="DJ119" s="51">
        <f t="shared" si="62"/>
        <v>1.7234139191298199E-2</v>
      </c>
      <c r="DK119" s="67"/>
      <c r="DL119" s="52">
        <v>57</v>
      </c>
      <c r="DM119" s="4"/>
      <c r="DN119" s="4">
        <f>$S$5</f>
        <v>0</v>
      </c>
      <c r="DO119" s="4">
        <f>$S$5</f>
        <v>0</v>
      </c>
      <c r="DP119" s="4"/>
      <c r="DQ119" s="4"/>
      <c r="DR119" s="18" t="e">
        <f t="shared" si="81"/>
        <v>#N/A</v>
      </c>
      <c r="DS119" s="54">
        <v>5</v>
      </c>
      <c r="DT119" s="55">
        <f t="shared" si="56"/>
        <v>22500</v>
      </c>
      <c r="DU119" s="54">
        <v>20</v>
      </c>
      <c r="DV119" s="54">
        <f t="shared" si="57"/>
        <v>36000</v>
      </c>
      <c r="DW119" s="56">
        <f t="shared" si="58"/>
        <v>8.3500181462286776</v>
      </c>
      <c r="DX119" s="65">
        <v>0</v>
      </c>
      <c r="DY119" s="58">
        <f t="shared" si="64"/>
        <v>0</v>
      </c>
      <c r="DZ119" s="65">
        <v>15</v>
      </c>
      <c r="EA119" s="65">
        <f t="shared" si="65"/>
        <v>2110</v>
      </c>
      <c r="EB119" s="58">
        <v>20000</v>
      </c>
      <c r="EC119" s="58" t="e">
        <f t="shared" si="90"/>
        <v>#N/A</v>
      </c>
      <c r="ED119" s="57">
        <v>200</v>
      </c>
      <c r="EE119" s="86" t="s">
        <v>53</v>
      </c>
      <c r="EF119" s="87">
        <v>18</v>
      </c>
      <c r="EG119" s="83">
        <v>46330</v>
      </c>
    </row>
    <row r="120" spans="87:137" ht="15">
      <c r="CI120" s="16">
        <v>46331</v>
      </c>
      <c r="CJ120" s="46">
        <v>51</v>
      </c>
      <c r="CK120" s="84">
        <f>BB39</f>
        <v>0</v>
      </c>
      <c r="CL120" s="46">
        <f t="shared" si="41"/>
        <v>2437.6341927291728</v>
      </c>
      <c r="CM120" s="39">
        <f t="shared" si="47"/>
        <v>8.3500181462286776</v>
      </c>
      <c r="CN120" s="40">
        <f t="shared" si="60"/>
        <v>1082.1968857245731</v>
      </c>
      <c r="CO120" s="4">
        <f t="shared" si="77"/>
        <v>0</v>
      </c>
      <c r="CP120" s="62">
        <f t="shared" si="78"/>
        <v>0</v>
      </c>
      <c r="CQ120" s="66" t="str">
        <f t="shared" si="79"/>
        <v/>
      </c>
      <c r="CR120" s="66" t="str">
        <f t="shared" si="80"/>
        <v/>
      </c>
      <c r="CS120" s="66" t="str">
        <f t="shared" si="84"/>
        <v/>
      </c>
      <c r="CT120" s="66" t="str">
        <f t="shared" si="86"/>
        <v/>
      </c>
      <c r="CU120" s="43">
        <f t="shared" si="73"/>
        <v>1082.1968857245731</v>
      </c>
      <c r="CV120" s="44">
        <f t="shared" si="61"/>
        <v>1371.9234025058563</v>
      </c>
      <c r="CW120" s="44">
        <f t="shared" si="48"/>
        <v>129.60413579620209</v>
      </c>
      <c r="CX120" s="44">
        <f t="shared" si="74"/>
        <v>105.68826641857727</v>
      </c>
      <c r="CY120" s="44">
        <f t="shared" si="49"/>
        <v>42.275306567430889</v>
      </c>
      <c r="CZ120" s="46">
        <f t="shared" si="50"/>
        <v>1100.5563229143791</v>
      </c>
      <c r="DA120" s="46">
        <f t="shared" si="75"/>
        <v>18.359437189805931</v>
      </c>
      <c r="DB120" s="44">
        <f t="shared" si="51"/>
        <v>1395.8392718834812</v>
      </c>
      <c r="DC120" s="46">
        <f t="shared" si="52"/>
        <v>23.915869377624858</v>
      </c>
      <c r="DD120" s="47">
        <f t="shared" si="53"/>
        <v>58.761402068687516</v>
      </c>
      <c r="DE120" s="46">
        <f t="shared" si="54"/>
        <v>2437.6341927291728</v>
      </c>
      <c r="DF120" s="47"/>
      <c r="DG120" s="48" t="e">
        <f t="shared" si="83"/>
        <v>#N/A</v>
      </c>
      <c r="DH120" s="49"/>
      <c r="DI120" s="50" t="str">
        <f t="shared" si="68"/>
        <v/>
      </c>
      <c r="DJ120" s="51">
        <f t="shared" si="62"/>
        <v>1.7230495963379337E-2</v>
      </c>
      <c r="DK120" s="38"/>
      <c r="DL120" s="52">
        <v>57</v>
      </c>
      <c r="DM120" s="4"/>
      <c r="DN120" s="4"/>
      <c r="DO120" s="4"/>
      <c r="DP120" s="4"/>
      <c r="DQ120" s="4"/>
      <c r="DR120" s="18" t="e">
        <f t="shared" si="81"/>
        <v>#N/A</v>
      </c>
      <c r="DS120" s="54">
        <v>5</v>
      </c>
      <c r="DT120" s="55">
        <f t="shared" si="56"/>
        <v>22500</v>
      </c>
      <c r="DU120" s="54">
        <v>20</v>
      </c>
      <c r="DV120" s="54">
        <f t="shared" si="57"/>
        <v>36000</v>
      </c>
      <c r="DW120" s="56">
        <f t="shared" si="58"/>
        <v>8.3500181462286776</v>
      </c>
      <c r="DX120" s="65">
        <v>0</v>
      </c>
      <c r="DY120" s="58">
        <f t="shared" si="64"/>
        <v>0</v>
      </c>
      <c r="DZ120" s="65">
        <v>16</v>
      </c>
      <c r="EA120" s="65">
        <f t="shared" si="65"/>
        <v>2115</v>
      </c>
      <c r="EB120" s="58">
        <v>20000</v>
      </c>
      <c r="EC120" s="58" t="e">
        <f t="shared" si="90"/>
        <v>#N/A</v>
      </c>
      <c r="ED120" s="57">
        <v>200</v>
      </c>
      <c r="EE120" s="86" t="s">
        <v>53</v>
      </c>
      <c r="EF120" s="87">
        <v>19</v>
      </c>
      <c r="EG120" s="83">
        <v>46331</v>
      </c>
    </row>
    <row r="121" spans="87:137" ht="15">
      <c r="CI121" s="91">
        <v>46332</v>
      </c>
      <c r="CJ121" s="46">
        <v>52</v>
      </c>
      <c r="CK121" s="84">
        <f>BC39</f>
        <v>0</v>
      </c>
      <c r="CL121" s="46">
        <f t="shared" si="41"/>
        <v>2479.6331050029685</v>
      </c>
      <c r="CM121" s="39">
        <f t="shared" ref="CM121:CM129" si="95">IF($S$3="S",DW121,IF($S$3="F",ED121))</f>
        <v>8.3500181462286776</v>
      </c>
      <c r="CN121" s="40">
        <f t="shared" si="60"/>
        <v>1100.5563229143791</v>
      </c>
      <c r="CO121" s="4">
        <f t="shared" si="77"/>
        <v>0</v>
      </c>
      <c r="CP121" s="62">
        <f t="shared" si="78"/>
        <v>0</v>
      </c>
      <c r="CQ121" s="66" t="str">
        <f t="shared" si="79"/>
        <v/>
      </c>
      <c r="CR121" s="66" t="str">
        <f t="shared" si="80"/>
        <v/>
      </c>
      <c r="CS121" s="66" t="str">
        <f t="shared" si="84"/>
        <v/>
      </c>
      <c r="CT121" s="66" t="str">
        <f t="shared" si="86"/>
        <v/>
      </c>
      <c r="CU121" s="43">
        <f t="shared" si="73"/>
        <v>1100.5563229143791</v>
      </c>
      <c r="CV121" s="44">
        <f t="shared" si="61"/>
        <v>1395.8392718834812</v>
      </c>
      <c r="CW121" s="44">
        <f t="shared" ref="CW121:CW129" si="96">CU121/CM121</f>
        <v>131.80286601071043</v>
      </c>
      <c r="CX121" s="44">
        <f t="shared" si="74"/>
        <v>107.51418277968185</v>
      </c>
      <c r="CY121" s="44">
        <f t="shared" ref="CY121:CY122" si="97">(CX121*$BS$44)-CX121</f>
        <v>43.005673111872738</v>
      </c>
      <c r="CZ121" s="46">
        <f t="shared" ref="CZ121:CZ129" si="98">CU121-CW121+CX121+CY121</f>
        <v>1119.2733127952231</v>
      </c>
      <c r="DA121" s="46">
        <f t="shared" si="75"/>
        <v>18.716989880844039</v>
      </c>
      <c r="DB121" s="44">
        <f t="shared" ref="DB121:DB129" si="99">IF(DB120&lt;2,0,CV121-CX121+CW121)</f>
        <v>1420.1279551145096</v>
      </c>
      <c r="DC121" s="46">
        <f t="shared" ref="DC121:DC129" si="100">DB121-CV121</f>
        <v>24.288683231028472</v>
      </c>
      <c r="DD121" s="47">
        <f t="shared" si="53"/>
        <v>59.768162906764033</v>
      </c>
      <c r="DE121" s="46">
        <f t="shared" ref="DE121:DE129" si="101">CZ121+DB121-DD121</f>
        <v>2479.6331050029685</v>
      </c>
      <c r="DF121" s="47">
        <f t="shared" ref="DF121" si="102">DD121</f>
        <v>59.768162906764033</v>
      </c>
      <c r="DG121" s="48" t="e">
        <f t="shared" si="83"/>
        <v>#N/A</v>
      </c>
      <c r="DH121" s="49"/>
      <c r="DI121" s="50" t="str">
        <f t="shared" si="68"/>
        <v/>
      </c>
      <c r="DJ121" s="51">
        <f t="shared" si="62"/>
        <v>1.722937444800679E-2</v>
      </c>
      <c r="DK121" s="67"/>
      <c r="DL121" s="52">
        <v>57</v>
      </c>
      <c r="DM121" s="4"/>
      <c r="DN121" s="4"/>
      <c r="DO121" s="4"/>
      <c r="DP121" s="4"/>
      <c r="DQ121" s="85"/>
      <c r="DR121" s="18" t="e">
        <f t="shared" si="81"/>
        <v>#N/A</v>
      </c>
      <c r="DS121" s="54">
        <v>5</v>
      </c>
      <c r="DT121" s="55">
        <f t="shared" ref="DT121" si="103">DS121*4500</f>
        <v>22500</v>
      </c>
      <c r="DU121" s="54">
        <v>20</v>
      </c>
      <c r="DV121" s="54">
        <f t="shared" ref="DV121" si="104">DU121*1800</f>
        <v>36000</v>
      </c>
      <c r="DW121" s="56">
        <f t="shared" ref="DW121" si="105">5*LN(DV121/DT121)+6</f>
        <v>8.3500181462286776</v>
      </c>
      <c r="DX121" s="65">
        <v>0</v>
      </c>
      <c r="DY121" s="58">
        <f t="shared" si="64"/>
        <v>0</v>
      </c>
      <c r="DZ121" s="65">
        <v>17</v>
      </c>
      <c r="EA121" s="65">
        <f t="shared" si="65"/>
        <v>2120</v>
      </c>
      <c r="EB121" s="58">
        <v>20000</v>
      </c>
      <c r="EC121" s="58" t="e">
        <f t="shared" si="90"/>
        <v>#N/A</v>
      </c>
      <c r="ED121" s="57">
        <v>200</v>
      </c>
      <c r="EE121" s="86" t="s">
        <v>53</v>
      </c>
      <c r="EF121" s="87">
        <v>20</v>
      </c>
      <c r="EG121" s="83">
        <v>46332</v>
      </c>
    </row>
    <row r="122" spans="87:137" ht="15">
      <c r="CI122" s="91">
        <v>46333</v>
      </c>
      <c r="CJ122" s="46">
        <v>53</v>
      </c>
      <c r="CK122" s="84">
        <f>BD39</f>
        <v>0</v>
      </c>
      <c r="CL122" s="46">
        <f t="shared" si="41"/>
        <v>2522.3573671248478</v>
      </c>
      <c r="CM122" s="39">
        <f t="shared" si="95"/>
        <v>8.3500181462286776</v>
      </c>
      <c r="CN122" s="40">
        <f t="shared" si="60"/>
        <v>1119.2733127952231</v>
      </c>
      <c r="CO122" s="4">
        <f t="shared" si="77"/>
        <v>0</v>
      </c>
      <c r="CP122" s="62">
        <f t="shared" si="78"/>
        <v>0</v>
      </c>
      <c r="CQ122" s="66" t="str">
        <f t="shared" si="79"/>
        <v/>
      </c>
      <c r="CR122" s="66" t="str">
        <f t="shared" si="80"/>
        <v/>
      </c>
      <c r="CS122" s="66" t="str">
        <f t="shared" si="84"/>
        <v/>
      </c>
      <c r="CT122" s="66" t="str">
        <f t="shared" si="86"/>
        <v/>
      </c>
      <c r="CU122" s="43">
        <f>IF(CU121&lt;20,20,CN122-SUM(CP122:CT122))</f>
        <v>1119.2733127952231</v>
      </c>
      <c r="CV122" s="44">
        <f t="shared" si="61"/>
        <v>1420.1279551145096</v>
      </c>
      <c r="CW122" s="44">
        <f t="shared" si="96"/>
        <v>134.04441681372248</v>
      </c>
      <c r="CX122" s="44">
        <f t="shared" ref="CX122:CX129" si="106">IF(S$3="f",0,CW110)</f>
        <v>109.37932034995707</v>
      </c>
      <c r="CY122" s="44">
        <f t="shared" si="97"/>
        <v>43.751728139982831</v>
      </c>
      <c r="CZ122" s="46">
        <f>CU122-CW122+CX122+CY122</f>
        <v>1138.3599444714405</v>
      </c>
      <c r="DA122" s="46">
        <f t="shared" si="75"/>
        <v>19.086631676217394</v>
      </c>
      <c r="DB122" s="44">
        <f t="shared" si="99"/>
        <v>1444.793051578275</v>
      </c>
      <c r="DC122" s="46">
        <f t="shared" si="100"/>
        <v>24.665096463765394</v>
      </c>
      <c r="DD122" s="47">
        <f t="shared" ref="DD122:DD129" si="107">(CN122+CX122*12)*0.025</f>
        <v>60.7956289248677</v>
      </c>
      <c r="DE122" s="46">
        <f t="shared" si="101"/>
        <v>2522.3573671248478</v>
      </c>
      <c r="DF122" s="47"/>
      <c r="DG122" s="48" t="e">
        <f t="shared" si="83"/>
        <v>#N/A</v>
      </c>
      <c r="DH122" s="49"/>
      <c r="DI122" s="50" t="str">
        <f t="shared" si="68"/>
        <v/>
      </c>
      <c r="DJ122" s="51">
        <f t="shared" ref="DJ122:DJ129" si="108">(CL122-CL121)/CL121</f>
        <v>1.7230074092686443E-2</v>
      </c>
      <c r="DK122" s="67"/>
      <c r="DL122" s="52">
        <v>57</v>
      </c>
      <c r="DM122" s="4">
        <f>$S$5</f>
        <v>0</v>
      </c>
      <c r="DN122" s="4"/>
      <c r="DO122" s="4"/>
      <c r="DP122" s="4"/>
      <c r="DQ122" s="4"/>
      <c r="DR122" s="18" t="e">
        <f t="shared" si="81"/>
        <v>#N/A</v>
      </c>
      <c r="DS122" s="54">
        <v>5</v>
      </c>
      <c r="DT122" s="55">
        <f t="shared" ref="DT122:DT129" si="109">DS122*4500</f>
        <v>22500</v>
      </c>
      <c r="DU122" s="54">
        <v>20</v>
      </c>
      <c r="DV122" s="54">
        <f t="shared" ref="DV122:DV129" si="110">DU122*1800</f>
        <v>36000</v>
      </c>
      <c r="DW122" s="56">
        <f t="shared" ref="DW122:DW129" si="111">5*LN(DV122/DT122)+6</f>
        <v>8.3500181462286776</v>
      </c>
      <c r="DX122" s="65">
        <v>0</v>
      </c>
      <c r="DY122" s="58">
        <f t="shared" ref="DY122:DY129" si="112">DX122*4500</f>
        <v>0</v>
      </c>
      <c r="DZ122" s="65">
        <v>18</v>
      </c>
      <c r="EA122" s="65">
        <f t="shared" si="65"/>
        <v>2125</v>
      </c>
      <c r="EB122" s="58">
        <v>20000</v>
      </c>
      <c r="EC122" s="58" t="e">
        <f t="shared" si="90"/>
        <v>#N/A</v>
      </c>
      <c r="ED122" s="57">
        <v>200</v>
      </c>
      <c r="EE122" s="86" t="s">
        <v>53</v>
      </c>
      <c r="EF122" s="87">
        <v>21</v>
      </c>
      <c r="EG122" s="83">
        <v>46333</v>
      </c>
    </row>
    <row r="123" spans="87:137" ht="15">
      <c r="CI123" s="91">
        <v>46334</v>
      </c>
      <c r="CJ123" s="46">
        <v>54</v>
      </c>
      <c r="CK123" s="84">
        <f>BE39</f>
        <v>0</v>
      </c>
      <c r="CL123" s="46">
        <f t="shared" si="41"/>
        <v>2565.8218423863982</v>
      </c>
      <c r="CM123" s="39">
        <f t="shared" si="95"/>
        <v>8.3500181462286776</v>
      </c>
      <c r="CN123" s="40">
        <f t="shared" ref="CN123:CN129" si="113">CZ122</f>
        <v>1138.3599444714405</v>
      </c>
      <c r="CO123" s="4">
        <f t="shared" si="77"/>
        <v>0</v>
      </c>
      <c r="CP123" s="62">
        <f t="shared" si="78"/>
        <v>0</v>
      </c>
      <c r="CQ123" s="66" t="str">
        <f t="shared" si="79"/>
        <v/>
      </c>
      <c r="CR123" s="66" t="str">
        <f t="shared" si="80"/>
        <v/>
      </c>
      <c r="CS123" s="66" t="str">
        <f t="shared" si="84"/>
        <v/>
      </c>
      <c r="CT123" s="66" t="str">
        <f t="shared" si="86"/>
        <v/>
      </c>
      <c r="CU123" s="43">
        <f t="shared" ref="CU123:CU129" si="114">IF(CU122&lt;20,20,CN123-SUM(CP123:CT123))</f>
        <v>1138.3599444714405</v>
      </c>
      <c r="CV123" s="44">
        <f t="shared" ref="CV123:CV129" si="115">DB122</f>
        <v>1444.793051578275</v>
      </c>
      <c r="CW123" s="44">
        <f t="shared" si="96"/>
        <v>136.33023599901824</v>
      </c>
      <c r="CX123" s="44">
        <f t="shared" si="106"/>
        <v>111.27844948468704</v>
      </c>
      <c r="CY123" s="44">
        <f t="shared" ref="CY123:CY129" si="116">(CX123*$BS$44)-CX123</f>
        <v>44.511379793874809</v>
      </c>
      <c r="CZ123" s="46">
        <f t="shared" si="98"/>
        <v>1157.8195377509842</v>
      </c>
      <c r="DA123" s="46">
        <f t="shared" ref="DA123:DA129" si="117">CZ123-CN123</f>
        <v>19.459593279543697</v>
      </c>
      <c r="DB123" s="44">
        <f>IF(S$3="f",0,(IF(DB122&lt;2,0,CV123-CX123+CW123)))</f>
        <v>1469.8448380926061</v>
      </c>
      <c r="DC123" s="46">
        <f t="shared" si="100"/>
        <v>25.05178651433107</v>
      </c>
      <c r="DD123" s="47">
        <f t="shared" si="107"/>
        <v>61.842533457192125</v>
      </c>
      <c r="DE123" s="46">
        <f t="shared" si="101"/>
        <v>2565.8218423863982</v>
      </c>
      <c r="DF123" s="47">
        <f t="shared" ref="DF123" si="118">DD123</f>
        <v>61.842533457192125</v>
      </c>
      <c r="DG123" s="48" t="e">
        <f t="shared" si="83"/>
        <v>#N/A</v>
      </c>
      <c r="DH123" s="49"/>
      <c r="DI123" s="50" t="str">
        <f t="shared" si="68"/>
        <v/>
      </c>
      <c r="DJ123" s="51">
        <f t="shared" si="108"/>
        <v>1.7231688034393858E-2</v>
      </c>
      <c r="DK123" s="38">
        <f>DE123</f>
        <v>2565.8218423863982</v>
      </c>
      <c r="DL123" s="52">
        <v>57</v>
      </c>
      <c r="DM123" s="4"/>
      <c r="DN123" s="4"/>
      <c r="DO123" s="4"/>
      <c r="DP123" s="85"/>
      <c r="DQ123" s="4"/>
      <c r="DR123" s="18" t="e">
        <f t="shared" si="81"/>
        <v>#N/A</v>
      </c>
      <c r="DS123" s="54">
        <v>5</v>
      </c>
      <c r="DT123" s="55">
        <f t="shared" si="109"/>
        <v>22500</v>
      </c>
      <c r="DU123" s="54">
        <v>20</v>
      </c>
      <c r="DV123" s="54">
        <f t="shared" si="110"/>
        <v>36000</v>
      </c>
      <c r="DW123" s="56">
        <f t="shared" si="111"/>
        <v>8.3500181462286776</v>
      </c>
      <c r="DX123" s="65">
        <v>0</v>
      </c>
      <c r="DY123" s="58">
        <f t="shared" si="112"/>
        <v>0</v>
      </c>
      <c r="DZ123" s="65">
        <v>19</v>
      </c>
      <c r="EA123" s="65">
        <f t="shared" ref="EA123:EA129" si="119">EA122+5</f>
        <v>2130</v>
      </c>
      <c r="EB123" s="58">
        <v>20000</v>
      </c>
      <c r="EC123" s="58" t="e">
        <f t="shared" si="90"/>
        <v>#N/A</v>
      </c>
      <c r="ED123" s="57">
        <v>200</v>
      </c>
      <c r="EE123" s="86" t="s">
        <v>54</v>
      </c>
      <c r="EF123" s="87">
        <v>22</v>
      </c>
      <c r="EG123" s="83">
        <v>46334</v>
      </c>
    </row>
    <row r="124" spans="87:137" ht="15">
      <c r="CI124" s="91">
        <v>46335</v>
      </c>
      <c r="CJ124" s="46">
        <v>55</v>
      </c>
      <c r="CK124" s="84">
        <f>BF39</f>
        <v>1</v>
      </c>
      <c r="CL124" s="46">
        <f t="shared" si="41"/>
        <v>2610.0396029563167</v>
      </c>
      <c r="CM124" s="39">
        <f t="shared" si="95"/>
        <v>8.3500181462286776</v>
      </c>
      <c r="CN124" s="40">
        <f t="shared" si="113"/>
        <v>1157.8195377509842</v>
      </c>
      <c r="CO124" s="4">
        <f t="shared" si="77"/>
        <v>0</v>
      </c>
      <c r="CP124" s="62">
        <f t="shared" si="78"/>
        <v>0</v>
      </c>
      <c r="CQ124" s="66" t="str">
        <f t="shared" si="79"/>
        <v/>
      </c>
      <c r="CR124" s="66" t="str">
        <f t="shared" si="80"/>
        <v/>
      </c>
      <c r="CS124" s="66" t="str">
        <f t="shared" si="84"/>
        <v/>
      </c>
      <c r="CT124" s="66" t="str">
        <f t="shared" si="86"/>
        <v/>
      </c>
      <c r="CU124" s="43">
        <f t="shared" si="114"/>
        <v>1157.8195377509842</v>
      </c>
      <c r="CV124" s="44">
        <f t="shared" si="115"/>
        <v>1469.8448380926061</v>
      </c>
      <c r="CW124" s="44">
        <f t="shared" si="96"/>
        <v>138.6607211475245</v>
      </c>
      <c r="CX124" s="44">
        <f t="shared" si="106"/>
        <v>113.20715556500978</v>
      </c>
      <c r="CY124" s="44">
        <f t="shared" si="116"/>
        <v>45.2828622260039</v>
      </c>
      <c r="CZ124" s="46">
        <f t="shared" si="98"/>
        <v>1177.6488343944734</v>
      </c>
      <c r="DA124" s="46">
        <f t="shared" si="117"/>
        <v>19.829296643489215</v>
      </c>
      <c r="DB124" s="44">
        <f t="shared" si="99"/>
        <v>1495.2984036751209</v>
      </c>
      <c r="DC124" s="46">
        <f t="shared" si="100"/>
        <v>25.453565582514784</v>
      </c>
      <c r="DD124" s="47">
        <f t="shared" si="107"/>
        <v>62.90763511327755</v>
      </c>
      <c r="DE124" s="46">
        <f t="shared" si="101"/>
        <v>2610.0396029563167</v>
      </c>
      <c r="DF124" s="47"/>
      <c r="DG124" s="48" t="e">
        <f t="shared" si="83"/>
        <v>#N/A</v>
      </c>
      <c r="DH124" s="49"/>
      <c r="DI124" s="50" t="str">
        <f t="shared" si="68"/>
        <v/>
      </c>
      <c r="DJ124" s="51">
        <f t="shared" si="108"/>
        <v>1.7233371327446803E-2</v>
      </c>
      <c r="DK124" s="38"/>
      <c r="DL124" s="52">
        <v>57</v>
      </c>
      <c r="DM124" s="4"/>
      <c r="DN124" s="4">
        <f>$S$5</f>
        <v>0</v>
      </c>
      <c r="DO124" s="85"/>
      <c r="DP124" s="4"/>
      <c r="DQ124" s="85"/>
      <c r="DR124" s="18" t="e">
        <f t="shared" si="81"/>
        <v>#N/A</v>
      </c>
      <c r="DS124" s="54">
        <v>5</v>
      </c>
      <c r="DT124" s="55">
        <f t="shared" si="109"/>
        <v>22500</v>
      </c>
      <c r="DU124" s="54">
        <v>20</v>
      </c>
      <c r="DV124" s="54">
        <f t="shared" si="110"/>
        <v>36000</v>
      </c>
      <c r="DW124" s="56">
        <f t="shared" si="111"/>
        <v>8.3500181462286776</v>
      </c>
      <c r="DX124" s="65">
        <v>0</v>
      </c>
      <c r="DY124" s="58">
        <f t="shared" si="112"/>
        <v>0</v>
      </c>
      <c r="DZ124" s="65">
        <v>20</v>
      </c>
      <c r="EA124" s="65">
        <f t="shared" si="119"/>
        <v>2135</v>
      </c>
      <c r="EB124" s="58">
        <v>20000</v>
      </c>
      <c r="EC124" s="58" t="e">
        <f t="shared" si="90"/>
        <v>#N/A</v>
      </c>
      <c r="ED124" s="57">
        <v>200</v>
      </c>
      <c r="EE124" s="86" t="s">
        <v>54</v>
      </c>
      <c r="EF124" s="87">
        <v>23</v>
      </c>
      <c r="EG124" s="83">
        <v>46335</v>
      </c>
    </row>
    <row r="125" spans="87:137" ht="15">
      <c r="CI125" s="91">
        <v>46336</v>
      </c>
      <c r="CJ125" s="46">
        <v>56</v>
      </c>
      <c r="CK125" s="84">
        <f>BG39</f>
        <v>0</v>
      </c>
      <c r="CL125" s="46">
        <f t="shared" si="41"/>
        <v>2655.0222524787814</v>
      </c>
      <c r="CM125" s="39">
        <f t="shared" si="95"/>
        <v>8.3500181462286776</v>
      </c>
      <c r="CN125" s="40">
        <f t="shared" si="113"/>
        <v>1177.6488343944734</v>
      </c>
      <c r="CO125" s="4">
        <f t="shared" si="77"/>
        <v>0</v>
      </c>
      <c r="CP125" s="62">
        <f t="shared" si="78"/>
        <v>0</v>
      </c>
      <c r="CQ125" s="66" t="str">
        <f t="shared" si="79"/>
        <v/>
      </c>
      <c r="CR125" s="66" t="str">
        <f t="shared" si="80"/>
        <v/>
      </c>
      <c r="CS125" s="66" t="str">
        <f t="shared" si="84"/>
        <v/>
      </c>
      <c r="CT125" s="66" t="str">
        <f t="shared" si="86"/>
        <v/>
      </c>
      <c r="CU125" s="43">
        <f t="shared" si="114"/>
        <v>1177.6488343944734</v>
      </c>
      <c r="CV125" s="44">
        <f t="shared" si="115"/>
        <v>1495.2984036751209</v>
      </c>
      <c r="CW125" s="44">
        <f t="shared" si="96"/>
        <v>141.03548205178018</v>
      </c>
      <c r="CX125" s="44">
        <f t="shared" si="106"/>
        <v>115.16235269048738</v>
      </c>
      <c r="CY125" s="44">
        <f t="shared" si="116"/>
        <v>46.064941076194941</v>
      </c>
      <c r="CZ125" s="46">
        <f t="shared" si="98"/>
        <v>1197.8406461093755</v>
      </c>
      <c r="DA125" s="46">
        <f t="shared" si="117"/>
        <v>20.191811714902087</v>
      </c>
      <c r="DB125" s="44">
        <f t="shared" si="99"/>
        <v>1521.1715330364138</v>
      </c>
      <c r="DC125" s="46">
        <f t="shared" si="100"/>
        <v>25.873129361292968</v>
      </c>
      <c r="DD125" s="47">
        <f t="shared" si="107"/>
        <v>63.989926667008049</v>
      </c>
      <c r="DE125" s="46">
        <f t="shared" si="101"/>
        <v>2655.0222524787814</v>
      </c>
      <c r="DF125" s="47">
        <f t="shared" ref="DF125" si="120">DD125</f>
        <v>63.989926667008049</v>
      </c>
      <c r="DG125" s="48" t="e">
        <f t="shared" si="83"/>
        <v>#N/A</v>
      </c>
      <c r="DH125" s="49"/>
      <c r="DI125" s="50" t="str">
        <f t="shared" si="68"/>
        <v/>
      </c>
      <c r="DJ125" s="51">
        <f t="shared" si="108"/>
        <v>1.7234470109769282E-2</v>
      </c>
      <c r="DK125" s="38"/>
      <c r="DL125" s="52">
        <v>57</v>
      </c>
      <c r="DM125" s="4"/>
      <c r="DN125" s="4"/>
      <c r="DO125" s="4"/>
      <c r="DP125" s="85"/>
      <c r="DQ125" s="85"/>
      <c r="DR125" s="18" t="e">
        <f t="shared" si="81"/>
        <v>#N/A</v>
      </c>
      <c r="DS125" s="54">
        <v>5</v>
      </c>
      <c r="DT125" s="55">
        <f t="shared" si="109"/>
        <v>22500</v>
      </c>
      <c r="DU125" s="54">
        <v>20</v>
      </c>
      <c r="DV125" s="54">
        <f t="shared" si="110"/>
        <v>36000</v>
      </c>
      <c r="DW125" s="56">
        <f t="shared" si="111"/>
        <v>8.3500181462286776</v>
      </c>
      <c r="DX125" s="65">
        <v>0</v>
      </c>
      <c r="DY125" s="58">
        <f t="shared" si="112"/>
        <v>0</v>
      </c>
      <c r="DZ125" s="65">
        <v>21</v>
      </c>
      <c r="EA125" s="65">
        <f t="shared" si="119"/>
        <v>2140</v>
      </c>
      <c r="EB125" s="58">
        <v>20000</v>
      </c>
      <c r="EC125" s="58" t="e">
        <f t="shared" si="90"/>
        <v>#N/A</v>
      </c>
      <c r="ED125" s="57">
        <v>200</v>
      </c>
      <c r="EE125" s="86" t="s">
        <v>54</v>
      </c>
      <c r="EF125" s="87">
        <v>24</v>
      </c>
      <c r="EG125" s="83">
        <v>46336</v>
      </c>
    </row>
    <row r="126" spans="87:137" ht="15">
      <c r="CI126" s="91">
        <v>46337</v>
      </c>
      <c r="CJ126" s="46">
        <v>57</v>
      </c>
      <c r="CK126" s="84">
        <f>BH39</f>
        <v>0</v>
      </c>
      <c r="CL126" s="46">
        <f t="shared" si="41"/>
        <v>2700.7804059311748</v>
      </c>
      <c r="CM126" s="39">
        <f t="shared" si="95"/>
        <v>8.3500181462286776</v>
      </c>
      <c r="CN126" s="40">
        <f t="shared" si="113"/>
        <v>1197.8406461093755</v>
      </c>
      <c r="CO126" s="4">
        <f t="shared" si="77"/>
        <v>0</v>
      </c>
      <c r="CP126" s="62">
        <f t="shared" si="78"/>
        <v>0</v>
      </c>
      <c r="CQ126" s="66" t="str">
        <f t="shared" si="79"/>
        <v/>
      </c>
      <c r="CR126" s="66" t="str">
        <f t="shared" si="80"/>
        <v/>
      </c>
      <c r="CS126" s="66" t="str">
        <f t="shared" si="84"/>
        <v/>
      </c>
      <c r="CT126" s="66" t="str">
        <f t="shared" si="86"/>
        <v/>
      </c>
      <c r="CU126" s="43">
        <f t="shared" si="114"/>
        <v>1197.8406461093755</v>
      </c>
      <c r="CV126" s="44">
        <f t="shared" si="115"/>
        <v>1521.1715330364138</v>
      </c>
      <c r="CW126" s="44">
        <f t="shared" si="96"/>
        <v>143.45365784029889</v>
      </c>
      <c r="CX126" s="44">
        <f t="shared" si="106"/>
        <v>117.14242938119675</v>
      </c>
      <c r="CY126" s="44">
        <f t="shared" si="116"/>
        <v>46.856971752478685</v>
      </c>
      <c r="CZ126" s="46">
        <f t="shared" si="98"/>
        <v>1218.386389402752</v>
      </c>
      <c r="DA126" s="46">
        <f t="shared" si="117"/>
        <v>20.545743293376518</v>
      </c>
      <c r="DB126" s="44">
        <f t="shared" si="99"/>
        <v>1547.4827614955161</v>
      </c>
      <c r="DC126" s="46">
        <f t="shared" si="100"/>
        <v>26.311228459102267</v>
      </c>
      <c r="DD126" s="47">
        <f t="shared" si="107"/>
        <v>65.088744967093405</v>
      </c>
      <c r="DE126" s="46">
        <f t="shared" si="101"/>
        <v>2700.7804059311748</v>
      </c>
      <c r="DF126" s="47"/>
      <c r="DG126" s="48" t="e">
        <f t="shared" si="83"/>
        <v>#N/A</v>
      </c>
      <c r="DH126" s="49"/>
      <c r="DI126" s="50" t="str">
        <f t="shared" si="68"/>
        <v/>
      </c>
      <c r="DJ126" s="51">
        <f t="shared" si="108"/>
        <v>1.7234564949379472E-2</v>
      </c>
      <c r="DK126" s="38"/>
      <c r="DL126" s="52">
        <v>57</v>
      </c>
      <c r="DM126" s="4">
        <f>$S$5</f>
        <v>0</v>
      </c>
      <c r="DN126" s="4"/>
      <c r="DO126" s="4">
        <f>$S$5</f>
        <v>0</v>
      </c>
      <c r="DP126" s="4"/>
      <c r="DQ126" s="4">
        <f>$S$5</f>
        <v>0</v>
      </c>
      <c r="DR126" s="18" t="e">
        <f t="shared" si="81"/>
        <v>#N/A</v>
      </c>
      <c r="DS126" s="54">
        <v>5</v>
      </c>
      <c r="DT126" s="55">
        <f t="shared" si="109"/>
        <v>22500</v>
      </c>
      <c r="DU126" s="54">
        <v>20</v>
      </c>
      <c r="DV126" s="54">
        <f t="shared" si="110"/>
        <v>36000</v>
      </c>
      <c r="DW126" s="56">
        <f t="shared" si="111"/>
        <v>8.3500181462286776</v>
      </c>
      <c r="DX126" s="65">
        <v>0</v>
      </c>
      <c r="DY126" s="58">
        <f t="shared" si="112"/>
        <v>0</v>
      </c>
      <c r="DZ126" s="65">
        <v>22</v>
      </c>
      <c r="EA126" s="65">
        <f t="shared" si="119"/>
        <v>2145</v>
      </c>
      <c r="EB126" s="58">
        <v>20000</v>
      </c>
      <c r="EC126" s="58" t="e">
        <f t="shared" si="90"/>
        <v>#N/A</v>
      </c>
      <c r="ED126" s="57">
        <v>200</v>
      </c>
      <c r="EE126" s="86" t="s">
        <v>54</v>
      </c>
      <c r="EF126" s="87">
        <v>25</v>
      </c>
      <c r="EG126" s="83">
        <v>46337</v>
      </c>
    </row>
    <row r="127" spans="87:137" ht="15">
      <c r="CI127" s="91">
        <v>46338</v>
      </c>
      <c r="CJ127" s="46">
        <v>58</v>
      </c>
      <c r="CK127" s="84">
        <f>BI39</f>
        <v>0</v>
      </c>
      <c r="CL127" s="46">
        <f t="shared" si="41"/>
        <v>2747.3242086035548</v>
      </c>
      <c r="CM127" s="39">
        <f t="shared" si="95"/>
        <v>8.3500181462286776</v>
      </c>
      <c r="CN127" s="40">
        <f t="shared" si="113"/>
        <v>1218.386389402752</v>
      </c>
      <c r="CO127" s="4">
        <f t="shared" si="77"/>
        <v>0</v>
      </c>
      <c r="CP127" s="62">
        <f t="shared" si="78"/>
        <v>0</v>
      </c>
      <c r="CQ127" s="66" t="str">
        <f t="shared" si="79"/>
        <v/>
      </c>
      <c r="CR127" s="66" t="str">
        <f t="shared" si="80"/>
        <v/>
      </c>
      <c r="CS127" s="66" t="str">
        <f t="shared" si="84"/>
        <v/>
      </c>
      <c r="CT127" s="66" t="str">
        <f t="shared" si="86"/>
        <v/>
      </c>
      <c r="CU127" s="43">
        <f t="shared" si="114"/>
        <v>1218.386389402752</v>
      </c>
      <c r="CV127" s="44">
        <f t="shared" si="115"/>
        <v>1547.4827614955161</v>
      </c>
      <c r="CW127" s="44">
        <f t="shared" si="96"/>
        <v>145.91422055208844</v>
      </c>
      <c r="CX127" s="44">
        <f t="shared" si="106"/>
        <v>119.14717440355506</v>
      </c>
      <c r="CY127" s="44">
        <f t="shared" si="116"/>
        <v>47.658869761422011</v>
      </c>
      <c r="CZ127" s="46">
        <f t="shared" si="98"/>
        <v>1239.2782130156406</v>
      </c>
      <c r="DA127" s="46">
        <f t="shared" si="117"/>
        <v>20.891823612888629</v>
      </c>
      <c r="DB127" s="44">
        <f t="shared" si="99"/>
        <v>1574.2498076440495</v>
      </c>
      <c r="DC127" s="46">
        <f t="shared" si="100"/>
        <v>26.767046148533382</v>
      </c>
      <c r="DD127" s="47">
        <f t="shared" si="107"/>
        <v>66.203812056135334</v>
      </c>
      <c r="DE127" s="46">
        <f t="shared" si="101"/>
        <v>2747.3242086035548</v>
      </c>
      <c r="DF127" s="47">
        <f t="shared" ref="DF127" si="121">DD127</f>
        <v>66.203812056135334</v>
      </c>
      <c r="DG127" s="48" t="e">
        <f t="shared" si="83"/>
        <v>#N/A</v>
      </c>
      <c r="DH127" s="49"/>
      <c r="DI127" s="50" t="str">
        <f t="shared" si="68"/>
        <v/>
      </c>
      <c r="DJ127" s="51">
        <f t="shared" si="108"/>
        <v>1.7233464286902162E-2</v>
      </c>
      <c r="DK127" s="38"/>
      <c r="DL127" s="52">
        <v>57</v>
      </c>
      <c r="DM127" s="4"/>
      <c r="DN127" s="4"/>
      <c r="DO127" s="4"/>
      <c r="DP127" s="4"/>
      <c r="DQ127" s="4"/>
      <c r="DR127" s="18" t="e">
        <f t="shared" si="81"/>
        <v>#N/A</v>
      </c>
      <c r="DS127" s="54">
        <v>5</v>
      </c>
      <c r="DT127" s="55">
        <f t="shared" si="109"/>
        <v>22500</v>
      </c>
      <c r="DU127" s="54">
        <v>20</v>
      </c>
      <c r="DV127" s="54">
        <f t="shared" si="110"/>
        <v>36000</v>
      </c>
      <c r="DW127" s="56">
        <f t="shared" si="111"/>
        <v>8.3500181462286776</v>
      </c>
      <c r="DX127" s="65">
        <v>0</v>
      </c>
      <c r="DY127" s="58">
        <f t="shared" si="112"/>
        <v>0</v>
      </c>
      <c r="DZ127" s="65">
        <v>23</v>
      </c>
      <c r="EA127" s="65">
        <f t="shared" si="119"/>
        <v>2150</v>
      </c>
      <c r="EB127" s="58">
        <v>20000</v>
      </c>
      <c r="EC127" s="58" t="e">
        <f t="shared" si="90"/>
        <v>#N/A</v>
      </c>
      <c r="ED127" s="57">
        <v>200</v>
      </c>
      <c r="EE127" s="86" t="s">
        <v>54</v>
      </c>
      <c r="EF127" s="87">
        <v>26</v>
      </c>
      <c r="EG127" s="83">
        <v>46338</v>
      </c>
    </row>
    <row r="128" spans="87:137" ht="15">
      <c r="CI128" s="91">
        <v>46339</v>
      </c>
      <c r="CJ128" s="46">
        <v>59</v>
      </c>
      <c r="CK128" s="84">
        <f>BJ39</f>
        <v>0</v>
      </c>
      <c r="CL128" s="46">
        <f t="shared" si="41"/>
        <v>2794.6638236700878</v>
      </c>
      <c r="CM128" s="39">
        <f t="shared" si="95"/>
        <v>8.3500181462286776</v>
      </c>
      <c r="CN128" s="40">
        <f t="shared" si="113"/>
        <v>1239.2782130156406</v>
      </c>
      <c r="CO128" s="4">
        <f t="shared" si="77"/>
        <v>0</v>
      </c>
      <c r="CP128" s="62">
        <f t="shared" si="78"/>
        <v>0</v>
      </c>
      <c r="CQ128" s="66" t="str">
        <f t="shared" si="79"/>
        <v/>
      </c>
      <c r="CR128" s="66" t="str">
        <f t="shared" si="80"/>
        <v/>
      </c>
      <c r="CS128" s="66" t="str">
        <f t="shared" si="84"/>
        <v/>
      </c>
      <c r="CT128" s="66" t="str">
        <f t="shared" si="86"/>
        <v/>
      </c>
      <c r="CU128" s="43">
        <f t="shared" si="114"/>
        <v>1239.2782130156406</v>
      </c>
      <c r="CV128" s="44">
        <f t="shared" si="115"/>
        <v>1574.2498076440495</v>
      </c>
      <c r="CW128" s="44">
        <f t="shared" si="96"/>
        <v>148.41622991865785</v>
      </c>
      <c r="CX128" s="44">
        <f t="shared" si="106"/>
        <v>121.1775833578872</v>
      </c>
      <c r="CY128" s="44">
        <f t="shared" si="116"/>
        <v>48.471033343154872</v>
      </c>
      <c r="CZ128" s="46">
        <f t="shared" si="98"/>
        <v>1260.5105997980249</v>
      </c>
      <c r="DA128" s="46">
        <f t="shared" si="117"/>
        <v>21.23238678238431</v>
      </c>
      <c r="DB128" s="44">
        <f t="shared" si="99"/>
        <v>1601.4884542048201</v>
      </c>
      <c r="DC128" s="46">
        <f t="shared" si="100"/>
        <v>27.238646560770576</v>
      </c>
      <c r="DD128" s="47">
        <f t="shared" si="107"/>
        <v>67.335230332757178</v>
      </c>
      <c r="DE128" s="46">
        <f t="shared" si="101"/>
        <v>2794.6638236700878</v>
      </c>
      <c r="DF128" s="47"/>
      <c r="DG128" s="48" t="e">
        <f t="shared" si="83"/>
        <v>#N/A</v>
      </c>
      <c r="DH128" s="49"/>
      <c r="DI128" s="50" t="str">
        <f t="shared" si="68"/>
        <v/>
      </c>
      <c r="DJ128" s="51">
        <f t="shared" si="108"/>
        <v>1.7231171668157588E-2</v>
      </c>
      <c r="DK128" s="38"/>
      <c r="DL128" s="52">
        <v>57</v>
      </c>
      <c r="DM128" s="4"/>
      <c r="DN128" s="4"/>
      <c r="DO128" s="4"/>
      <c r="DP128" s="4">
        <f>$S$5</f>
        <v>0</v>
      </c>
      <c r="DQ128" s="4"/>
      <c r="DR128" s="18" t="e">
        <f t="shared" si="81"/>
        <v>#N/A</v>
      </c>
      <c r="DS128" s="54">
        <v>5</v>
      </c>
      <c r="DT128" s="55">
        <f t="shared" si="109"/>
        <v>22500</v>
      </c>
      <c r="DU128" s="54">
        <v>20</v>
      </c>
      <c r="DV128" s="54">
        <f t="shared" si="110"/>
        <v>36000</v>
      </c>
      <c r="DW128" s="56">
        <f t="shared" si="111"/>
        <v>8.3500181462286776</v>
      </c>
      <c r="DX128" s="65">
        <v>0</v>
      </c>
      <c r="DY128" s="58">
        <f t="shared" si="112"/>
        <v>0</v>
      </c>
      <c r="DZ128" s="65">
        <v>24</v>
      </c>
      <c r="EA128" s="65">
        <f t="shared" si="119"/>
        <v>2155</v>
      </c>
      <c r="EB128" s="58">
        <v>20000</v>
      </c>
      <c r="EC128" s="58" t="e">
        <f t="shared" si="90"/>
        <v>#N/A</v>
      </c>
      <c r="ED128" s="57">
        <v>200</v>
      </c>
      <c r="EE128" s="86" t="s">
        <v>54</v>
      </c>
      <c r="EF128" s="87">
        <v>27</v>
      </c>
      <c r="EG128" s="83">
        <v>46339</v>
      </c>
    </row>
    <row r="129" spans="87:137">
      <c r="CI129" s="91">
        <v>46340</v>
      </c>
      <c r="CJ129" s="46">
        <v>60</v>
      </c>
      <c r="CK129" s="18"/>
      <c r="CL129" s="46">
        <f t="shared" si="41"/>
        <v>2842.8098502682956</v>
      </c>
      <c r="CM129" s="39">
        <f t="shared" si="95"/>
        <v>8.3500181462286776</v>
      </c>
      <c r="CN129" s="40">
        <f t="shared" si="113"/>
        <v>1260.5105997980249</v>
      </c>
      <c r="CO129" s="4">
        <f t="shared" si="77"/>
        <v>0</v>
      </c>
      <c r="CP129" s="62">
        <f t="shared" si="78"/>
        <v>0</v>
      </c>
      <c r="CQ129" s="66" t="str">
        <f t="shared" si="79"/>
        <v/>
      </c>
      <c r="CR129" s="66" t="str">
        <f t="shared" si="80"/>
        <v/>
      </c>
      <c r="CS129" s="66" t="str">
        <f t="shared" si="84"/>
        <v/>
      </c>
      <c r="CT129" s="66" t="str">
        <f t="shared" si="86"/>
        <v/>
      </c>
      <c r="CU129" s="43">
        <f t="shared" si="114"/>
        <v>1260.5105997980249</v>
      </c>
      <c r="CV129" s="44">
        <f t="shared" si="115"/>
        <v>1601.4884542048201</v>
      </c>
      <c r="CW129" s="44">
        <f t="shared" si="96"/>
        <v>150.9590252049141</v>
      </c>
      <c r="CX129" s="44">
        <f t="shared" si="106"/>
        <v>123.23561260401303</v>
      </c>
      <c r="CY129" s="44">
        <f t="shared" si="116"/>
        <v>49.294245041605194</v>
      </c>
      <c r="CZ129" s="46">
        <f t="shared" si="98"/>
        <v>1282.0814322387291</v>
      </c>
      <c r="DA129" s="46">
        <f t="shared" si="117"/>
        <v>21.57083244070418</v>
      </c>
      <c r="DB129" s="44">
        <f t="shared" si="99"/>
        <v>1629.211866805721</v>
      </c>
      <c r="DC129" s="46">
        <f t="shared" si="100"/>
        <v>27.723412600900929</v>
      </c>
      <c r="DD129" s="47">
        <f t="shared" si="107"/>
        <v>68.483448776154532</v>
      </c>
      <c r="DE129" s="46">
        <f t="shared" si="101"/>
        <v>2842.8098502682956</v>
      </c>
      <c r="DF129" s="47">
        <f t="shared" ref="DF129" si="122">DD129</f>
        <v>68.483448776154532</v>
      </c>
      <c r="DG129" s="48" t="e">
        <f t="shared" si="83"/>
        <v>#N/A</v>
      </c>
      <c r="DH129" s="49">
        <f>IF($S$3="F",315*CZ129/EB129,315*CZ129/DV129)</f>
        <v>11.218212532088881</v>
      </c>
      <c r="DI129" s="50" t="str">
        <f t="shared" si="68"/>
        <v/>
      </c>
      <c r="DJ129" s="51">
        <f t="shared" si="108"/>
        <v>1.722784192875838E-2</v>
      </c>
      <c r="DK129" s="38">
        <f>DE129</f>
        <v>2842.8098502682956</v>
      </c>
      <c r="DL129" s="52">
        <v>57</v>
      </c>
      <c r="DM129" s="4"/>
      <c r="DN129" s="4">
        <f>$S$5</f>
        <v>0</v>
      </c>
      <c r="DO129" s="4"/>
      <c r="DP129" s="4"/>
      <c r="DQ129" s="4"/>
      <c r="DR129" s="18" t="e">
        <f t="shared" si="81"/>
        <v>#N/A</v>
      </c>
      <c r="DS129" s="54">
        <v>5</v>
      </c>
      <c r="DT129" s="55">
        <f t="shared" si="109"/>
        <v>22500</v>
      </c>
      <c r="DU129" s="54">
        <v>20</v>
      </c>
      <c r="DV129" s="54">
        <f t="shared" si="110"/>
        <v>36000</v>
      </c>
      <c r="DW129" s="56">
        <f t="shared" si="111"/>
        <v>8.3500181462286776</v>
      </c>
      <c r="DX129" s="65">
        <v>0</v>
      </c>
      <c r="DY129" s="58">
        <f t="shared" si="112"/>
        <v>0</v>
      </c>
      <c r="DZ129" s="65">
        <v>25</v>
      </c>
      <c r="EA129" s="65">
        <f t="shared" si="119"/>
        <v>2160</v>
      </c>
      <c r="EB129" s="58">
        <v>20000</v>
      </c>
      <c r="EC129" s="58" t="e">
        <f t="shared" si="90"/>
        <v>#N/A</v>
      </c>
      <c r="ED129" s="57">
        <v>200</v>
      </c>
      <c r="EE129" s="86" t="s">
        <v>54</v>
      </c>
      <c r="EF129" s="87">
        <v>28</v>
      </c>
      <c r="EG129" s="83">
        <v>46340</v>
      </c>
    </row>
    <row r="130" spans="87:137" ht="51">
      <c r="CL130" s="27" t="s">
        <v>14</v>
      </c>
      <c r="CM130" s="27" t="s">
        <v>15</v>
      </c>
      <c r="CN130" s="28" t="s">
        <v>16</v>
      </c>
      <c r="CO130" s="29" t="s">
        <v>57</v>
      </c>
      <c r="CP130" s="29" t="s">
        <v>58</v>
      </c>
      <c r="CQ130" s="29" t="s">
        <v>58</v>
      </c>
      <c r="CR130" s="29" t="s">
        <v>58</v>
      </c>
      <c r="CS130" s="29" t="s">
        <v>58</v>
      </c>
      <c r="CT130" s="29" t="s">
        <v>58</v>
      </c>
      <c r="CU130" s="90" t="s">
        <v>17</v>
      </c>
      <c r="CV130" s="30" t="s">
        <v>18</v>
      </c>
      <c r="CW130" s="30" t="s">
        <v>19</v>
      </c>
      <c r="CX130" s="30" t="s">
        <v>56</v>
      </c>
      <c r="CY130" s="30" t="s">
        <v>20</v>
      </c>
      <c r="CZ130" s="27" t="s">
        <v>21</v>
      </c>
      <c r="DA130" s="27" t="s">
        <v>22</v>
      </c>
      <c r="DB130" s="30" t="s">
        <v>23</v>
      </c>
      <c r="DC130" s="27" t="s">
        <v>24</v>
      </c>
      <c r="DD130" s="31" t="s">
        <v>59</v>
      </c>
      <c r="DE130" s="27" t="s">
        <v>25</v>
      </c>
      <c r="DF130" s="31" t="s">
        <v>60</v>
      </c>
      <c r="DG130" s="32" t="s">
        <v>26</v>
      </c>
      <c r="DH130" s="32" t="s">
        <v>61</v>
      </c>
      <c r="DI130" s="31" t="s">
        <v>27</v>
      </c>
      <c r="DJ130" s="33" t="s">
        <v>28</v>
      </c>
      <c r="DK130" s="34" t="s">
        <v>29</v>
      </c>
      <c r="DL130" s="27" t="s">
        <v>12</v>
      </c>
      <c r="DM130" s="29" t="s">
        <v>30</v>
      </c>
      <c r="DN130" s="29" t="s">
        <v>31</v>
      </c>
      <c r="DO130" s="29" t="s">
        <v>32</v>
      </c>
      <c r="DP130" s="29" t="s">
        <v>33</v>
      </c>
      <c r="DQ130" s="29" t="s">
        <v>34</v>
      </c>
      <c r="DR130" s="29" t="s">
        <v>35</v>
      </c>
      <c r="DS130" s="35" t="s">
        <v>36</v>
      </c>
      <c r="DT130" s="35" t="s">
        <v>65</v>
      </c>
      <c r="DU130" s="35" t="s">
        <v>37</v>
      </c>
      <c r="DV130" s="35" t="s">
        <v>66</v>
      </c>
      <c r="DW130" s="35" t="s">
        <v>38</v>
      </c>
      <c r="DX130" s="36" t="s">
        <v>36</v>
      </c>
      <c r="DY130" s="36" t="s">
        <v>65</v>
      </c>
      <c r="DZ130" s="36" t="s">
        <v>37</v>
      </c>
      <c r="EA130" s="36" t="s">
        <v>39</v>
      </c>
      <c r="EB130" s="36" t="s">
        <v>40</v>
      </c>
      <c r="EC130" s="36" t="s">
        <v>41</v>
      </c>
      <c r="ED130" s="36" t="s">
        <v>38</v>
      </c>
      <c r="EE130" s="36" t="s">
        <v>42</v>
      </c>
      <c r="EF130" s="36"/>
      <c r="EG130" s="27" t="s">
        <v>43</v>
      </c>
    </row>
    <row r="133" spans="87:137">
      <c r="CX133" s="20" t="s">
        <v>63</v>
      </c>
    </row>
  </sheetData>
  <mergeCells count="23">
    <mergeCell ref="CH66:CI66"/>
    <mergeCell ref="CK66:CK69"/>
    <mergeCell ref="BT46:CF47"/>
    <mergeCell ref="BT44:BZ44"/>
    <mergeCell ref="CK56:CK65"/>
    <mergeCell ref="B40:C40"/>
    <mergeCell ref="BQ46:BR47"/>
    <mergeCell ref="BS46:BS47"/>
    <mergeCell ref="DX55:EF55"/>
    <mergeCell ref="B6:E6"/>
    <mergeCell ref="F6:J6"/>
    <mergeCell ref="DS55:DW55"/>
    <mergeCell ref="CU54:CU55"/>
    <mergeCell ref="BT42:CF43"/>
    <mergeCell ref="BS42:BS43"/>
    <mergeCell ref="BQ42:BR44"/>
    <mergeCell ref="BK39:BO40"/>
    <mergeCell ref="S6:U6"/>
    <mergeCell ref="O2:V2"/>
    <mergeCell ref="B2:M5"/>
    <mergeCell ref="S3:U3"/>
    <mergeCell ref="S4:U4"/>
    <mergeCell ref="S5:U5"/>
  </mergeCell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B26A-30E8-4B44-B3D9-A5C515E7F746}">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OAV model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Randy Oliver</dc:creator>
  <cp:keywords/>
  <dc:description/>
  <cp:lastModifiedBy>Randy Oliver</cp:lastModifiedBy>
  <cp:revision/>
  <dcterms:created xsi:type="dcterms:W3CDTF">2026-03-02T03:51:41Z</dcterms:created>
  <dcterms:modified xsi:type="dcterms:W3CDTF">2026-05-28T03:27:39Z</dcterms:modified>
  <cp:category/>
  <cp:contentStatus/>
</cp:coreProperties>
</file>