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docs.live.net/830a71c3eec52a59/Documents/@Website/"/>
    </mc:Choice>
  </mc:AlternateContent>
  <xr:revisionPtr revIDLastSave="175" documentId="8_{D648E7A2-700F-4D0A-891F-2D8BEF16EE4F}" xr6:coauthVersionLast="47" xr6:coauthVersionMax="47" xr10:uidLastSave="{8B03712B-6282-4C21-8624-D96ACFA9EBC1}"/>
  <bookViews>
    <workbookView xWindow="-120" yWindow="-120" windowWidth="29040" windowHeight="15720" xr2:uid="{9C0E1190-34D5-4052-B725-85E0DA65F782}"/>
  </bookViews>
  <sheets>
    <sheet name="OAV model" sheetId="1" r:id="rId1"/>
  </sheets>
  <definedNames>
    <definedName name="a">#REF!</definedName>
    <definedName name="abc">#REF!</definedName>
    <definedName name="abs">#REF!</definedName>
    <definedName name="b">#REF!</definedName>
    <definedName name="d">#REF!</definedName>
    <definedName name="x">#REF!</definedName>
    <definedName name="xxx">#REF!</definedName>
    <definedName name="xxx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Y126" i="1" l="1"/>
  <c r="EC126" i="1" s="1"/>
  <c r="DV126" i="1"/>
  <c r="DT126" i="1"/>
  <c r="DN126" i="1"/>
  <c r="CO126" i="1"/>
  <c r="DR126" i="1" s="1"/>
  <c r="DY125" i="1"/>
  <c r="EC125" i="1" s="1"/>
  <c r="DV125" i="1"/>
  <c r="DT125" i="1"/>
  <c r="DP125" i="1"/>
  <c r="CK125" i="1"/>
  <c r="CO125" i="1" s="1"/>
  <c r="DY124" i="1"/>
  <c r="EC124" i="1" s="1"/>
  <c r="DV124" i="1"/>
  <c r="DT124" i="1"/>
  <c r="CK124" i="1"/>
  <c r="CO124" i="1" s="1"/>
  <c r="DY123" i="1"/>
  <c r="EC123" i="1" s="1"/>
  <c r="DV123" i="1"/>
  <c r="DT123" i="1"/>
  <c r="DQ123" i="1"/>
  <c r="DO123" i="1"/>
  <c r="DM123" i="1"/>
  <c r="CO123" i="1"/>
  <c r="CK123" i="1"/>
  <c r="DY122" i="1"/>
  <c r="EC122" i="1" s="1"/>
  <c r="DV122" i="1"/>
  <c r="DT122" i="1"/>
  <c r="CK122" i="1"/>
  <c r="CO122" i="1" s="1"/>
  <c r="DY121" i="1"/>
  <c r="EC121" i="1" s="1"/>
  <c r="DV121" i="1"/>
  <c r="DW121" i="1" s="1"/>
  <c r="CM121" i="1" s="1"/>
  <c r="DT121" i="1"/>
  <c r="DN121" i="1"/>
  <c r="CO121" i="1"/>
  <c r="CK121" i="1"/>
  <c r="DY120" i="1"/>
  <c r="EC120" i="1" s="1"/>
  <c r="DV120" i="1"/>
  <c r="DW120" i="1" s="1"/>
  <c r="CM120" i="1" s="1"/>
  <c r="DT120" i="1"/>
  <c r="CK120" i="1"/>
  <c r="CO120" i="1" s="1"/>
  <c r="DY119" i="1"/>
  <c r="EC119" i="1" s="1"/>
  <c r="DV119" i="1"/>
  <c r="DT119" i="1"/>
  <c r="DM119" i="1"/>
  <c r="CK119" i="1"/>
  <c r="CO119" i="1" s="1"/>
  <c r="DG120" i="1" s="1"/>
  <c r="DY118" i="1"/>
  <c r="EC118" i="1" s="1"/>
  <c r="DV118" i="1"/>
  <c r="DT118" i="1"/>
  <c r="CK118" i="1"/>
  <c r="CO118" i="1" s="1"/>
  <c r="DY117" i="1"/>
  <c r="EC117" i="1" s="1"/>
  <c r="DV117" i="1"/>
  <c r="DT117" i="1"/>
  <c r="CK117" i="1"/>
  <c r="CO117" i="1" s="1"/>
  <c r="DI119" i="1" s="1"/>
  <c r="BM98" i="1"/>
  <c r="DY116" i="1"/>
  <c r="EC116" i="1" s="1"/>
  <c r="DV116" i="1"/>
  <c r="DT116" i="1"/>
  <c r="DO116" i="1"/>
  <c r="DN116" i="1"/>
  <c r="CK116" i="1"/>
  <c r="CO116" i="1" s="1"/>
  <c r="BM97" i="1"/>
  <c r="DY115" i="1"/>
  <c r="EC115" i="1" s="1"/>
  <c r="DV115" i="1"/>
  <c r="DT115" i="1"/>
  <c r="DP115" i="1"/>
  <c r="DM115" i="1"/>
  <c r="CO115" i="1"/>
  <c r="CK115" i="1"/>
  <c r="BM96" i="1"/>
  <c r="DY114" i="1"/>
  <c r="EC114" i="1" s="1"/>
  <c r="DV114" i="1"/>
  <c r="DT114" i="1"/>
  <c r="CK114" i="1"/>
  <c r="CO114" i="1" s="1"/>
  <c r="CQ115" i="1" s="1"/>
  <c r="BM95" i="1"/>
  <c r="DY113" i="1"/>
  <c r="EC113" i="1" s="1"/>
  <c r="DV113" i="1"/>
  <c r="DT113" i="1"/>
  <c r="CK113" i="1"/>
  <c r="CO113" i="1" s="1"/>
  <c r="DR113" i="1" s="1"/>
  <c r="BM94" i="1"/>
  <c r="DY112" i="1"/>
  <c r="EC112" i="1" s="1"/>
  <c r="DV112" i="1"/>
  <c r="DT112" i="1"/>
  <c r="CO112" i="1"/>
  <c r="DR112" i="1" s="1"/>
  <c r="CK112" i="1"/>
  <c r="BM93" i="1"/>
  <c r="DY111" i="1"/>
  <c r="EC111" i="1" s="1"/>
  <c r="DV111" i="1"/>
  <c r="DT111" i="1"/>
  <c r="DN111" i="1"/>
  <c r="DM111" i="1"/>
  <c r="CK111" i="1"/>
  <c r="CO111" i="1" s="1"/>
  <c r="DI113" i="1" s="1"/>
  <c r="BM92" i="1"/>
  <c r="DY110" i="1"/>
  <c r="EC110" i="1" s="1"/>
  <c r="DV110" i="1"/>
  <c r="DT110" i="1"/>
  <c r="CK110" i="1"/>
  <c r="CO110" i="1" s="1"/>
  <c r="BM91" i="1"/>
  <c r="DY109" i="1"/>
  <c r="EC109" i="1" s="1"/>
  <c r="DV109" i="1"/>
  <c r="DT109" i="1"/>
  <c r="DQ109" i="1"/>
  <c r="DO109" i="1"/>
  <c r="CO109" i="1"/>
  <c r="CT113" i="1" s="1"/>
  <c r="CK109" i="1"/>
  <c r="BM90" i="1"/>
  <c r="DY108" i="1"/>
  <c r="EC108" i="1" s="1"/>
  <c r="DV108" i="1"/>
  <c r="DT108" i="1"/>
  <c r="CK108" i="1"/>
  <c r="CO108" i="1" s="1"/>
  <c r="CT112" i="1" s="1"/>
  <c r="BM89" i="1"/>
  <c r="DY107" i="1"/>
  <c r="EC107" i="1" s="1"/>
  <c r="DV107" i="1"/>
  <c r="DT107" i="1"/>
  <c r="DM107" i="1"/>
  <c r="CK107" i="1"/>
  <c r="CO107" i="1" s="1"/>
  <c r="BM88" i="1"/>
  <c r="DY106" i="1"/>
  <c r="EC106" i="1" s="1"/>
  <c r="DV106" i="1"/>
  <c r="DT106" i="1"/>
  <c r="DN106" i="1"/>
  <c r="CO106" i="1"/>
  <c r="CQ107" i="1" s="1"/>
  <c r="CK106" i="1"/>
  <c r="BM87" i="1"/>
  <c r="DY105" i="1"/>
  <c r="EC105" i="1" s="1"/>
  <c r="DV105" i="1"/>
  <c r="DW105" i="1" s="1"/>
  <c r="DT105" i="1"/>
  <c r="DP105" i="1"/>
  <c r="CK105" i="1"/>
  <c r="CO105" i="1" s="1"/>
  <c r="BM86" i="1"/>
  <c r="DY104" i="1"/>
  <c r="EC104" i="1" s="1"/>
  <c r="DV104" i="1"/>
  <c r="DT104" i="1"/>
  <c r="CK104" i="1"/>
  <c r="CO104" i="1" s="1"/>
  <c r="BM85" i="1"/>
  <c r="DV103" i="1"/>
  <c r="DT103" i="1"/>
  <c r="DM103" i="1"/>
  <c r="CK103" i="1"/>
  <c r="CO103" i="1" s="1"/>
  <c r="BM84" i="1"/>
  <c r="DV102" i="1"/>
  <c r="DT102" i="1"/>
  <c r="DO102" i="1"/>
  <c r="CK102" i="1"/>
  <c r="CO102" i="1" s="1"/>
  <c r="BM83" i="1"/>
  <c r="DV101" i="1"/>
  <c r="DT101" i="1"/>
  <c r="DN101" i="1"/>
  <c r="CO101" i="1"/>
  <c r="CQ102" i="1" s="1"/>
  <c r="CK101" i="1"/>
  <c r="BM82" i="1"/>
  <c r="DV100" i="1"/>
  <c r="DT100" i="1"/>
  <c r="CO100" i="1"/>
  <c r="DR100" i="1" s="1"/>
  <c r="CK100" i="1"/>
  <c r="BM81" i="1"/>
  <c r="DV99" i="1"/>
  <c r="DT99" i="1"/>
  <c r="DM99" i="1"/>
  <c r="CK99" i="1"/>
  <c r="CO99" i="1" s="1"/>
  <c r="BM80" i="1"/>
  <c r="DV98" i="1"/>
  <c r="DT98" i="1"/>
  <c r="CK98" i="1"/>
  <c r="CO98" i="1" s="1"/>
  <c r="BM79" i="1"/>
  <c r="DV97" i="1"/>
  <c r="DT97" i="1"/>
  <c r="CK97" i="1"/>
  <c r="CO97" i="1" s="1"/>
  <c r="BM78" i="1"/>
  <c r="DV96" i="1"/>
  <c r="DT96" i="1"/>
  <c r="DN96" i="1"/>
  <c r="CK96" i="1"/>
  <c r="CO96" i="1" s="1"/>
  <c r="DR96" i="1" s="1"/>
  <c r="BM77" i="1"/>
  <c r="DV95" i="1"/>
  <c r="DT95" i="1"/>
  <c r="DQ95" i="1"/>
  <c r="DP95" i="1"/>
  <c r="CO95" i="1" s="1"/>
  <c r="DO95" i="1"/>
  <c r="DM95" i="1"/>
  <c r="CK95" i="1"/>
  <c r="BM76" i="1"/>
  <c r="DV94" i="1"/>
  <c r="DT94" i="1"/>
  <c r="CK94" i="1"/>
  <c r="CO94" i="1" s="1"/>
  <c r="BM75" i="1"/>
  <c r="DV93" i="1"/>
  <c r="DT93" i="1"/>
  <c r="CK93" i="1"/>
  <c r="CO93" i="1" s="1"/>
  <c r="CQ94" i="1" s="1"/>
  <c r="BM74" i="1"/>
  <c r="DV92" i="1"/>
  <c r="DT92" i="1"/>
  <c r="DW92" i="1" s="1"/>
  <c r="CK92" i="1"/>
  <c r="CO92" i="1" s="1"/>
  <c r="BM73" i="1"/>
  <c r="DV91" i="1"/>
  <c r="DT91" i="1"/>
  <c r="DW91" i="1" s="1"/>
  <c r="DN91" i="1"/>
  <c r="DM91" i="1"/>
  <c r="CK91" i="1"/>
  <c r="CO91" i="1" s="1"/>
  <c r="BM72" i="1"/>
  <c r="DV90" i="1"/>
  <c r="DT90" i="1"/>
  <c r="DW90" i="1" s="1"/>
  <c r="CK90" i="1"/>
  <c r="CO90" i="1" s="1"/>
  <c r="BM71" i="1"/>
  <c r="DV89" i="1"/>
  <c r="DT89" i="1"/>
  <c r="CK89" i="1"/>
  <c r="CO89" i="1" s="1"/>
  <c r="CS92" i="1" s="1"/>
  <c r="BM70" i="1"/>
  <c r="DV88" i="1"/>
  <c r="DT88" i="1"/>
  <c r="DO88" i="1"/>
  <c r="CK88" i="1"/>
  <c r="CO88" i="1" s="1"/>
  <c r="BM69" i="1"/>
  <c r="DV87" i="1"/>
  <c r="DT87" i="1"/>
  <c r="DM87" i="1"/>
  <c r="CK87" i="1"/>
  <c r="CO87" i="1" s="1"/>
  <c r="CT91" i="1" s="1"/>
  <c r="BM68" i="1"/>
  <c r="DV86" i="1"/>
  <c r="DT86" i="1"/>
  <c r="DN86" i="1"/>
  <c r="CK86" i="1"/>
  <c r="CO86" i="1" s="1"/>
  <c r="BM67" i="1"/>
  <c r="DV85" i="1"/>
  <c r="DT85" i="1"/>
  <c r="DP85" i="1"/>
  <c r="CK85" i="1"/>
  <c r="BM66" i="1"/>
  <c r="DV84" i="1"/>
  <c r="DT84" i="1"/>
  <c r="CK84" i="1"/>
  <c r="CO84" i="1" s="1"/>
  <c r="CQ85" i="1" s="1"/>
  <c r="BM65" i="1"/>
  <c r="DV83" i="1"/>
  <c r="DT83" i="1"/>
  <c r="DM83" i="1"/>
  <c r="CK83" i="1"/>
  <c r="CO83" i="1" s="1"/>
  <c r="BM64" i="1"/>
  <c r="DV82" i="1"/>
  <c r="DT82" i="1"/>
  <c r="CO82" i="1"/>
  <c r="CQ83" i="1" s="1"/>
  <c r="CK82" i="1"/>
  <c r="BM63" i="1"/>
  <c r="DV81" i="1"/>
  <c r="DT81" i="1"/>
  <c r="DQ81" i="1"/>
  <c r="DO81" i="1"/>
  <c r="DN81" i="1"/>
  <c r="CK81" i="1"/>
  <c r="CO81" i="1" s="1"/>
  <c r="BM62" i="1"/>
  <c r="DV80" i="1"/>
  <c r="DT80" i="1"/>
  <c r="CK80" i="1"/>
  <c r="CO80" i="1" s="1"/>
  <c r="CQ81" i="1" s="1"/>
  <c r="BM61" i="1"/>
  <c r="DV79" i="1"/>
  <c r="DT79" i="1"/>
  <c r="DM79" i="1"/>
  <c r="CK79" i="1"/>
  <c r="CO79" i="1" s="1"/>
  <c r="DG80" i="1" s="1"/>
  <c r="BM60" i="1"/>
  <c r="DV78" i="1"/>
  <c r="DT78" i="1"/>
  <c r="CK78" i="1"/>
  <c r="CO78" i="1" s="1"/>
  <c r="CT82" i="1" s="1"/>
  <c r="BM59" i="1"/>
  <c r="DV77" i="1"/>
  <c r="DT77" i="1"/>
  <c r="DP77" i="1"/>
  <c r="CK77" i="1"/>
  <c r="BM58" i="1"/>
  <c r="DV76" i="1"/>
  <c r="DT76" i="1"/>
  <c r="DN76" i="1"/>
  <c r="CO76" i="1"/>
  <c r="CQ77" i="1" s="1"/>
  <c r="CK76" i="1"/>
  <c r="BM57" i="1"/>
  <c r="DV75" i="1"/>
  <c r="DT75" i="1"/>
  <c r="DM75" i="1"/>
  <c r="CK75" i="1"/>
  <c r="CO75" i="1" s="1"/>
  <c r="BM56" i="1"/>
  <c r="DV74" i="1"/>
  <c r="DT74" i="1"/>
  <c r="DO74" i="1"/>
  <c r="CK74" i="1"/>
  <c r="CO74" i="1" s="1"/>
  <c r="BM55" i="1"/>
  <c r="DV73" i="1"/>
  <c r="DT73" i="1"/>
  <c r="CK73" i="1"/>
  <c r="CO73" i="1" s="1"/>
  <c r="BM54" i="1"/>
  <c r="DV72" i="1"/>
  <c r="DT72" i="1"/>
  <c r="DN72" i="1"/>
  <c r="CK72" i="1"/>
  <c r="CO72" i="1" s="1"/>
  <c r="CS75" i="1" s="1"/>
  <c r="BM53" i="1"/>
  <c r="DV71" i="1"/>
  <c r="DT71" i="1"/>
  <c r="DM71" i="1"/>
  <c r="CK71" i="1"/>
  <c r="CO71" i="1" s="1"/>
  <c r="CT75" i="1" s="1"/>
  <c r="BM52" i="1"/>
  <c r="DV70" i="1"/>
  <c r="DT70" i="1"/>
  <c r="CT70" i="1"/>
  <c r="CK70" i="1"/>
  <c r="CO70" i="1" s="1"/>
  <c r="BM51" i="1"/>
  <c r="DV69" i="1"/>
  <c r="DT69" i="1"/>
  <c r="CT69" i="1"/>
  <c r="CS69" i="1"/>
  <c r="CK69" i="1"/>
  <c r="CO69" i="1" s="1"/>
  <c r="BM50" i="1"/>
  <c r="DV68" i="1"/>
  <c r="DT68" i="1"/>
  <c r="DI68" i="1"/>
  <c r="CT68" i="1"/>
  <c r="CS68" i="1"/>
  <c r="CR68" i="1"/>
  <c r="CK68" i="1"/>
  <c r="CO68" i="1" s="1"/>
  <c r="CQ69" i="1" s="1"/>
  <c r="BM49" i="1"/>
  <c r="DV67" i="1"/>
  <c r="DT67" i="1"/>
  <c r="DQ67" i="1"/>
  <c r="DP67" i="1"/>
  <c r="DO67" i="1"/>
  <c r="DN67" i="1"/>
  <c r="DM67" i="1"/>
  <c r="DI67" i="1"/>
  <c r="CT67" i="1"/>
  <c r="CS67" i="1"/>
  <c r="CR67" i="1"/>
  <c r="CQ67" i="1"/>
  <c r="CK67" i="1"/>
  <c r="BM48" i="1"/>
  <c r="DV66" i="1"/>
  <c r="DT66" i="1"/>
  <c r="DI66" i="1"/>
  <c r="CR66" i="1"/>
  <c r="CQ66" i="1"/>
  <c r="BM47" i="1"/>
  <c r="DV65" i="1"/>
  <c r="DT65" i="1"/>
  <c r="DI65" i="1"/>
  <c r="CR65" i="1"/>
  <c r="CQ65" i="1"/>
  <c r="BM46" i="1"/>
  <c r="DV64" i="1"/>
  <c r="DT64" i="1"/>
  <c r="DI64" i="1"/>
  <c r="CR64" i="1"/>
  <c r="CQ64" i="1"/>
  <c r="CI64" i="1"/>
  <c r="CL54" i="1" s="1"/>
  <c r="BM45" i="1"/>
  <c r="DV63" i="1"/>
  <c r="DT63" i="1"/>
  <c r="DI63" i="1"/>
  <c r="CR63" i="1"/>
  <c r="CQ63" i="1"/>
  <c r="BM44" i="1"/>
  <c r="DV62" i="1"/>
  <c r="DT62" i="1"/>
  <c r="DI62" i="1"/>
  <c r="CR62" i="1"/>
  <c r="CQ62" i="1"/>
  <c r="BM43" i="1"/>
  <c r="DV61" i="1"/>
  <c r="DT61" i="1"/>
  <c r="DI61" i="1"/>
  <c r="CR61" i="1"/>
  <c r="CQ61" i="1"/>
  <c r="BM42" i="1"/>
  <c r="DV60" i="1"/>
  <c r="DT60" i="1"/>
  <c r="DI60" i="1"/>
  <c r="CR60" i="1"/>
  <c r="CQ60" i="1"/>
  <c r="BM41" i="1"/>
  <c r="DV59" i="1"/>
  <c r="DT59" i="1"/>
  <c r="DI59" i="1"/>
  <c r="CR59" i="1"/>
  <c r="CQ59" i="1"/>
  <c r="BM40" i="1"/>
  <c r="DV58" i="1"/>
  <c r="DT58" i="1"/>
  <c r="DI58" i="1"/>
  <c r="CR58" i="1"/>
  <c r="CQ58" i="1"/>
  <c r="DV57" i="1"/>
  <c r="DT57" i="1"/>
  <c r="DI57" i="1"/>
  <c r="CR57" i="1"/>
  <c r="CQ57" i="1"/>
  <c r="DV56" i="1"/>
  <c r="DT56" i="1"/>
  <c r="DI56" i="1"/>
  <c r="CQ56" i="1"/>
  <c r="EA55" i="1"/>
  <c r="DX55" i="1"/>
  <c r="DY55" i="1" s="1"/>
  <c r="DV55" i="1"/>
  <c r="DT55" i="1"/>
  <c r="CJ55" i="1"/>
  <c r="CJ56" i="1" s="1"/>
  <c r="CJ57" i="1" s="1"/>
  <c r="CJ58" i="1" s="1"/>
  <c r="CJ59" i="1" s="1"/>
  <c r="CJ60" i="1" s="1"/>
  <c r="CJ61" i="1" s="1"/>
  <c r="CJ62" i="1" s="1"/>
  <c r="CJ63" i="1" s="1"/>
  <c r="CJ64" i="1" s="1"/>
  <c r="CJ65" i="1" s="1"/>
  <c r="DZ54" i="1"/>
  <c r="DZ55" i="1" s="1"/>
  <c r="DZ56" i="1" s="1"/>
  <c r="DZ57" i="1" s="1"/>
  <c r="DZ58" i="1" s="1"/>
  <c r="DZ59" i="1" s="1"/>
  <c r="DZ60" i="1" s="1"/>
  <c r="DZ61" i="1" s="1"/>
  <c r="DZ62" i="1" s="1"/>
  <c r="DV54" i="1"/>
  <c r="DT54" i="1"/>
  <c r="DY54" i="1" s="1"/>
  <c r="DW85" i="1" l="1"/>
  <c r="DW67" i="1"/>
  <c r="DW57" i="1"/>
  <c r="DW88" i="1"/>
  <c r="DW63" i="1"/>
  <c r="DW110" i="1"/>
  <c r="CM110" i="1" s="1"/>
  <c r="DW73" i="1"/>
  <c r="DW76" i="1"/>
  <c r="DW122" i="1"/>
  <c r="CM122" i="1" s="1"/>
  <c r="DW114" i="1"/>
  <c r="CM114" i="1" s="1"/>
  <c r="DW79" i="1"/>
  <c r="EB55" i="1"/>
  <c r="EC55" i="1" s="1"/>
  <c r="DW93" i="1"/>
  <c r="EA56" i="1"/>
  <c r="EA57" i="1" s="1"/>
  <c r="ED106" i="1"/>
  <c r="CR84" i="1"/>
  <c r="DW64" i="1"/>
  <c r="ED104" i="1"/>
  <c r="DW118" i="1"/>
  <c r="CM118" i="1" s="1"/>
  <c r="DR93" i="1"/>
  <c r="DW109" i="1"/>
  <c r="CM109" i="1" s="1"/>
  <c r="DW56" i="1"/>
  <c r="DW95" i="1"/>
  <c r="DW99" i="1"/>
  <c r="DW83" i="1"/>
  <c r="DW102" i="1"/>
  <c r="DW107" i="1"/>
  <c r="CM107" i="1" s="1"/>
  <c r="DW54" i="1"/>
  <c r="DW65" i="1"/>
  <c r="DW78" i="1"/>
  <c r="DW116" i="1"/>
  <c r="CM116" i="1" s="1"/>
  <c r="DW60" i="1"/>
  <c r="DW74" i="1"/>
  <c r="CO85" i="1"/>
  <c r="DR85" i="1" s="1"/>
  <c r="DR82" i="1"/>
  <c r="DW108" i="1"/>
  <c r="CM108" i="1" s="1"/>
  <c r="DW59" i="1"/>
  <c r="DW71" i="1"/>
  <c r="DW66" i="1"/>
  <c r="DI95" i="1"/>
  <c r="DW117" i="1"/>
  <c r="CM117" i="1" s="1"/>
  <c r="DW61" i="1"/>
  <c r="CQ101" i="1"/>
  <c r="DW106" i="1"/>
  <c r="CM106" i="1" s="1"/>
  <c r="DW113" i="1"/>
  <c r="CM113" i="1" s="1"/>
  <c r="DW126" i="1"/>
  <c r="CM126" i="1" s="1"/>
  <c r="DW62" i="1"/>
  <c r="CO67" i="1"/>
  <c r="DR67" i="1" s="1"/>
  <c r="CO77" i="1"/>
  <c r="DR77" i="1" s="1"/>
  <c r="CR89" i="1"/>
  <c r="DR106" i="1"/>
  <c r="DR108" i="1"/>
  <c r="CR110" i="1"/>
  <c r="DI84" i="1"/>
  <c r="CS109" i="1"/>
  <c r="CS111" i="1"/>
  <c r="CR82" i="1"/>
  <c r="CT85" i="1"/>
  <c r="DG82" i="1"/>
  <c r="DI71" i="1"/>
  <c r="DG70" i="1"/>
  <c r="CR71" i="1"/>
  <c r="DG93" i="1"/>
  <c r="CT96" i="1"/>
  <c r="DR92" i="1"/>
  <c r="CR94" i="1"/>
  <c r="DI94" i="1"/>
  <c r="CQ93" i="1"/>
  <c r="CS95" i="1"/>
  <c r="DR105" i="1"/>
  <c r="DI85" i="1"/>
  <c r="DR83" i="1"/>
  <c r="DI104" i="1"/>
  <c r="CS105" i="1"/>
  <c r="CQ103" i="1"/>
  <c r="CS110" i="1"/>
  <c r="DG108" i="1"/>
  <c r="CT111" i="1"/>
  <c r="CQ108" i="1"/>
  <c r="DI109" i="1"/>
  <c r="CR109" i="1"/>
  <c r="CQ71" i="1"/>
  <c r="DR70" i="1"/>
  <c r="DI72" i="1"/>
  <c r="CS106" i="1"/>
  <c r="CR105" i="1"/>
  <c r="DG104" i="1"/>
  <c r="DW89" i="1"/>
  <c r="ED105" i="1"/>
  <c r="CM105" i="1" s="1"/>
  <c r="DW86" i="1"/>
  <c r="CQ88" i="1"/>
  <c r="DW119" i="1"/>
  <c r="CM119" i="1" s="1"/>
  <c r="DG88" i="1"/>
  <c r="DW97" i="1"/>
  <c r="DW100" i="1"/>
  <c r="DW112" i="1"/>
  <c r="CM112" i="1" s="1"/>
  <c r="DW72" i="1"/>
  <c r="DW81" i="1"/>
  <c r="DI103" i="1"/>
  <c r="DW77" i="1"/>
  <c r="CT86" i="1"/>
  <c r="DW103" i="1"/>
  <c r="DW82" i="1"/>
  <c r="DW96" i="1"/>
  <c r="DW104" i="1"/>
  <c r="CM104" i="1" s="1"/>
  <c r="DW115" i="1"/>
  <c r="CM115" i="1" s="1"/>
  <c r="DW70" i="1"/>
  <c r="CS85" i="1"/>
  <c r="DW87" i="1"/>
  <c r="DG83" i="1"/>
  <c r="DZ63" i="1"/>
  <c r="EB54" i="1"/>
  <c r="ED54" i="1" s="1"/>
  <c r="DW55" i="1"/>
  <c r="DX56" i="1"/>
  <c r="CT79" i="1"/>
  <c r="CQ76" i="1"/>
  <c r="DR75" i="1"/>
  <c r="DI77" i="1"/>
  <c r="DG76" i="1"/>
  <c r="CS78" i="1"/>
  <c r="CR77" i="1"/>
  <c r="CS82" i="1"/>
  <c r="CR81" i="1"/>
  <c r="DR79" i="1"/>
  <c r="DI81" i="1"/>
  <c r="CQ80" i="1"/>
  <c r="CR75" i="1"/>
  <c r="DG74" i="1"/>
  <c r="CQ74" i="1"/>
  <c r="DI75" i="1"/>
  <c r="CT77" i="1"/>
  <c r="DR73" i="1"/>
  <c r="CT90" i="1"/>
  <c r="CQ87" i="1"/>
  <c r="DG87" i="1"/>
  <c r="DI88" i="1"/>
  <c r="CR88" i="1"/>
  <c r="DR86" i="1"/>
  <c r="CS89" i="1"/>
  <c r="CT72" i="1"/>
  <c r="DR68" i="1"/>
  <c r="DI70" i="1"/>
  <c r="DG69" i="1"/>
  <c r="CS71" i="1"/>
  <c r="DW68" i="1"/>
  <c r="CR70" i="1"/>
  <c r="CR74" i="1"/>
  <c r="DI74" i="1"/>
  <c r="CQ73" i="1"/>
  <c r="DR72" i="1"/>
  <c r="CT76" i="1"/>
  <c r="CS81" i="1"/>
  <c r="CR80" i="1"/>
  <c r="CQ79" i="1"/>
  <c r="DR78" i="1"/>
  <c r="DI80" i="1"/>
  <c r="DG79" i="1"/>
  <c r="CT83" i="1"/>
  <c r="DG72" i="1"/>
  <c r="CS74" i="1"/>
  <c r="CR73" i="1"/>
  <c r="DW75" i="1"/>
  <c r="CS97" i="1"/>
  <c r="DI96" i="1"/>
  <c r="CR96" i="1"/>
  <c r="CT98" i="1"/>
  <c r="CQ95" i="1"/>
  <c r="DR94" i="1"/>
  <c r="DG95" i="1"/>
  <c r="DR71" i="1"/>
  <c r="CQ72" i="1"/>
  <c r="DG73" i="1"/>
  <c r="CQ75" i="1"/>
  <c r="DI76" i="1"/>
  <c r="DR74" i="1"/>
  <c r="CT78" i="1"/>
  <c r="DG75" i="1"/>
  <c r="CS77" i="1"/>
  <c r="CR76" i="1"/>
  <c r="DI86" i="1"/>
  <c r="CR86" i="1"/>
  <c r="DR84" i="1"/>
  <c r="CS87" i="1"/>
  <c r="CT88" i="1"/>
  <c r="DG85" i="1"/>
  <c r="CR99" i="1"/>
  <c r="DR97" i="1"/>
  <c r="DG98" i="1"/>
  <c r="CS100" i="1"/>
  <c r="CT101" i="1"/>
  <c r="DI99" i="1"/>
  <c r="CQ98" i="1"/>
  <c r="DW58" i="1"/>
  <c r="DW69" i="1"/>
  <c r="DI73" i="1"/>
  <c r="CS76" i="1"/>
  <c r="CR72" i="1"/>
  <c r="DG81" i="1"/>
  <c r="DI82" i="1"/>
  <c r="DI89" i="1"/>
  <c r="DR87" i="1"/>
  <c r="CS90" i="1"/>
  <c r="DR89" i="1"/>
  <c r="DR90" i="1"/>
  <c r="DI92" i="1"/>
  <c r="CQ91" i="1"/>
  <c r="CT94" i="1"/>
  <c r="CS93" i="1"/>
  <c r="DG91" i="1"/>
  <c r="CR92" i="1"/>
  <c r="DW98" i="1"/>
  <c r="CS103" i="1"/>
  <c r="CT104" i="1"/>
  <c r="DG101" i="1"/>
  <c r="CR102" i="1"/>
  <c r="DI102" i="1"/>
  <c r="CS72" i="1"/>
  <c r="CR83" i="1"/>
  <c r="DI83" i="1"/>
  <c r="CS107" i="1"/>
  <c r="DG105" i="1"/>
  <c r="CQ105" i="1"/>
  <c r="CT108" i="1"/>
  <c r="CR106" i="1"/>
  <c r="DR104" i="1"/>
  <c r="DI106" i="1"/>
  <c r="DR125" i="1"/>
  <c r="DR80" i="1"/>
  <c r="CT93" i="1"/>
  <c r="CR91" i="1"/>
  <c r="DI91" i="1"/>
  <c r="CQ90" i="1"/>
  <c r="DG90" i="1"/>
  <c r="DG92" i="1"/>
  <c r="CQ92" i="1"/>
  <c r="DR91" i="1"/>
  <c r="DI93" i="1"/>
  <c r="CT95" i="1"/>
  <c r="CS94" i="1"/>
  <c r="CR95" i="1"/>
  <c r="DG94" i="1"/>
  <c r="CT97" i="1"/>
  <c r="DI98" i="1"/>
  <c r="CR98" i="1"/>
  <c r="CS99" i="1"/>
  <c r="DG97" i="1"/>
  <c r="CT100" i="1"/>
  <c r="CQ97" i="1"/>
  <c r="CS102" i="1"/>
  <c r="CT103" i="1"/>
  <c r="DG100" i="1"/>
  <c r="DI101" i="1"/>
  <c r="DR99" i="1"/>
  <c r="CQ100" i="1"/>
  <c r="DW101" i="1"/>
  <c r="DR123" i="1"/>
  <c r="CS126" i="1"/>
  <c r="CR125" i="1"/>
  <c r="DI125" i="1"/>
  <c r="DG124" i="1"/>
  <c r="CQ124" i="1"/>
  <c r="CS73" i="1"/>
  <c r="DI78" i="1"/>
  <c r="CR78" i="1"/>
  <c r="DR76" i="1"/>
  <c r="DG77" i="1"/>
  <c r="CS79" i="1"/>
  <c r="CS84" i="1"/>
  <c r="CS96" i="1"/>
  <c r="CQ111" i="1"/>
  <c r="DG111" i="1"/>
  <c r="CT114" i="1"/>
  <c r="DR110" i="1"/>
  <c r="DI112" i="1"/>
  <c r="CR112" i="1"/>
  <c r="CS113" i="1"/>
  <c r="DG71" i="1"/>
  <c r="CT73" i="1"/>
  <c r="CT74" i="1"/>
  <c r="CS83" i="1"/>
  <c r="CT84" i="1"/>
  <c r="CT80" i="1"/>
  <c r="DW80" i="1"/>
  <c r="CT87" i="1"/>
  <c r="CR85" i="1"/>
  <c r="DG84" i="1"/>
  <c r="CQ84" i="1"/>
  <c r="CS86" i="1"/>
  <c r="CR93" i="1"/>
  <c r="DR95" i="1"/>
  <c r="DR69" i="1"/>
  <c r="CQ70" i="1"/>
  <c r="DR81" i="1"/>
  <c r="CQ82" i="1"/>
  <c r="DW84" i="1"/>
  <c r="CS91" i="1"/>
  <c r="CQ89" i="1"/>
  <c r="DG89" i="1"/>
  <c r="DR88" i="1"/>
  <c r="CR90" i="1"/>
  <c r="DI90" i="1"/>
  <c r="CT92" i="1"/>
  <c r="CR101" i="1"/>
  <c r="CT115" i="1"/>
  <c r="CR113" i="1"/>
  <c r="DR111" i="1"/>
  <c r="CS114" i="1"/>
  <c r="DG112" i="1"/>
  <c r="CQ112" i="1"/>
  <c r="DR115" i="1"/>
  <c r="DW94" i="1"/>
  <c r="CT120" i="1"/>
  <c r="DR116" i="1"/>
  <c r="CS119" i="1"/>
  <c r="DI118" i="1"/>
  <c r="CR118" i="1"/>
  <c r="CQ117" i="1"/>
  <c r="DG117" i="1"/>
  <c r="CT124" i="1"/>
  <c r="DR120" i="1"/>
  <c r="CS123" i="1"/>
  <c r="DI122" i="1"/>
  <c r="CR122" i="1"/>
  <c r="CQ121" i="1"/>
  <c r="DG121" i="1"/>
  <c r="CR103" i="1"/>
  <c r="DW125" i="1"/>
  <c r="CM125" i="1" s="1"/>
  <c r="CT122" i="1"/>
  <c r="CS121" i="1"/>
  <c r="DR118" i="1"/>
  <c r="DI120" i="1"/>
  <c r="CR120" i="1"/>
  <c r="CQ119" i="1"/>
  <c r="DG119" i="1"/>
  <c r="DR98" i="1"/>
  <c r="CS104" i="1"/>
  <c r="DG102" i="1"/>
  <c r="CT105" i="1"/>
  <c r="DR101" i="1"/>
  <c r="CR116" i="1"/>
  <c r="DR114" i="1"/>
  <c r="CT118" i="1"/>
  <c r="CS117" i="1"/>
  <c r="DG115" i="1"/>
  <c r="DI116" i="1"/>
  <c r="DR102" i="1"/>
  <c r="DG107" i="1"/>
  <c r="DI108" i="1"/>
  <c r="CR108" i="1"/>
  <c r="CT107" i="1"/>
  <c r="CQ110" i="1"/>
  <c r="DW123" i="1"/>
  <c r="CM123" i="1" s="1"/>
  <c r="DG103" i="1"/>
  <c r="DI105" i="1"/>
  <c r="DW111" i="1"/>
  <c r="CM111" i="1" s="1"/>
  <c r="CQ118" i="1"/>
  <c r="CT110" i="1"/>
  <c r="CT117" i="1"/>
  <c r="DI115" i="1"/>
  <c r="CR115" i="1"/>
  <c r="CQ114" i="1"/>
  <c r="DG114" i="1"/>
  <c r="CT123" i="1"/>
  <c r="CS122" i="1"/>
  <c r="DR119" i="1"/>
  <c r="CR121" i="1"/>
  <c r="DI121" i="1"/>
  <c r="CQ120" i="1"/>
  <c r="CT126" i="1"/>
  <c r="CS125" i="1"/>
  <c r="DI124" i="1"/>
  <c r="CR124" i="1"/>
  <c r="DR122" i="1"/>
  <c r="CQ123" i="1"/>
  <c r="CQ104" i="1"/>
  <c r="CS116" i="1"/>
  <c r="DG123" i="1"/>
  <c r="DR124" i="1"/>
  <c r="DI126" i="1"/>
  <c r="CR126" i="1"/>
  <c r="CQ125" i="1"/>
  <c r="DG125" i="1"/>
  <c r="DW124" i="1"/>
  <c r="CM124" i="1" s="1"/>
  <c r="CR104" i="1"/>
  <c r="CT106" i="1"/>
  <c r="CR111" i="1"/>
  <c r="DR109" i="1"/>
  <c r="DI111" i="1"/>
  <c r="DG110" i="1"/>
  <c r="CS112" i="1"/>
  <c r="CT121" i="1"/>
  <c r="DR117" i="1"/>
  <c r="CS120" i="1"/>
  <c r="CR119" i="1"/>
  <c r="DR103" i="1"/>
  <c r="DR107" i="1"/>
  <c r="DI110" i="1"/>
  <c r="DG109" i="1"/>
  <c r="CQ109" i="1"/>
  <c r="DG118" i="1"/>
  <c r="CT125" i="1"/>
  <c r="CS124" i="1"/>
  <c r="DR121" i="1"/>
  <c r="CR123" i="1"/>
  <c r="DI123" i="1"/>
  <c r="DG122" i="1"/>
  <c r="CQ122" i="1"/>
  <c r="ED55" i="1" l="1"/>
  <c r="EB56" i="1"/>
  <c r="CM54" i="1"/>
  <c r="CN54" i="1" s="1"/>
  <c r="CU54" i="1" s="1"/>
  <c r="CM55" i="1"/>
  <c r="EC54" i="1"/>
  <c r="DY56" i="1"/>
  <c r="EC56" i="1" s="1"/>
  <c r="DX57" i="1"/>
  <c r="EB57" i="1"/>
  <c r="EA58" i="1"/>
  <c r="DZ64" i="1"/>
  <c r="CV54" i="1" l="1"/>
  <c r="DZ65" i="1"/>
  <c r="EB58" i="1"/>
  <c r="EA59" i="1"/>
  <c r="DY57" i="1"/>
  <c r="EC57" i="1" s="1"/>
  <c r="DX58" i="1"/>
  <c r="CX54" i="1"/>
  <c r="ED56" i="1"/>
  <c r="CM56" i="1" s="1"/>
  <c r="CW54" i="1"/>
  <c r="CX66" i="1" s="1"/>
  <c r="CY66" i="1" s="1"/>
  <c r="CY54" i="1" l="1"/>
  <c r="DD54" i="1"/>
  <c r="DF54" i="1" s="1"/>
  <c r="DX59" i="1"/>
  <c r="DY58" i="1"/>
  <c r="EC58" i="1" s="1"/>
  <c r="ED57" i="1"/>
  <c r="CM57" i="1" s="1"/>
  <c r="CZ54" i="1"/>
  <c r="EB59" i="1"/>
  <c r="EA60" i="1"/>
  <c r="DZ66" i="1"/>
  <c r="DB54" i="1"/>
  <c r="EA61" i="1" l="1"/>
  <c r="EB60" i="1"/>
  <c r="CN55" i="1"/>
  <c r="DE54" i="1"/>
  <c r="CL55" i="1" s="1"/>
  <c r="DJ55" i="1" s="1"/>
  <c r="DH54" i="1"/>
  <c r="DC54" i="1"/>
  <c r="CV55" i="1"/>
  <c r="CX55" i="1" s="1"/>
  <c r="CY55" i="1" s="1"/>
  <c r="DZ67" i="1"/>
  <c r="DX60" i="1"/>
  <c r="DY59" i="1"/>
  <c r="EC59" i="1" s="1"/>
  <c r="ED58" i="1"/>
  <c r="CM58" i="1" s="1"/>
  <c r="DZ68" i="1" l="1"/>
  <c r="DX61" i="1"/>
  <c r="DY60" i="1"/>
  <c r="EC60" i="1" s="1"/>
  <c r="DD55" i="1"/>
  <c r="CP55" i="1"/>
  <c r="CU55" i="1"/>
  <c r="ED59" i="1"/>
  <c r="CM59" i="1" s="1"/>
  <c r="EA62" i="1"/>
  <c r="EB61" i="1"/>
  <c r="CW55" i="1" l="1"/>
  <c r="CZ55" i="1" s="1"/>
  <c r="EA63" i="1"/>
  <c r="EB62" i="1"/>
  <c r="DX62" i="1"/>
  <c r="DY61" i="1"/>
  <c r="EC61" i="1" s="1"/>
  <c r="DZ69" i="1"/>
  <c r="ED60" i="1"/>
  <c r="CM60" i="1" s="1"/>
  <c r="DY62" i="1" l="1"/>
  <c r="EC62" i="1" s="1"/>
  <c r="DX63" i="1"/>
  <c r="ED62" i="1"/>
  <c r="CM62" i="1" s="1"/>
  <c r="EA64" i="1"/>
  <c r="EB63" i="1"/>
  <c r="ED61" i="1"/>
  <c r="CM61" i="1" s="1"/>
  <c r="DA55" i="1"/>
  <c r="CN56" i="1"/>
  <c r="DZ70" i="1"/>
  <c r="CX67" i="1"/>
  <c r="CY67" i="1" s="1"/>
  <c r="DB55" i="1"/>
  <c r="CP56" i="1" l="1"/>
  <c r="CU56" i="1" s="1"/>
  <c r="CV56" i="1"/>
  <c r="CX56" i="1" s="1"/>
  <c r="CY56" i="1" s="1"/>
  <c r="DC55" i="1"/>
  <c r="EA65" i="1"/>
  <c r="EB64" i="1"/>
  <c r="DZ71" i="1"/>
  <c r="DX64" i="1"/>
  <c r="DY63" i="1"/>
  <c r="EC63" i="1" s="1"/>
  <c r="DE55" i="1"/>
  <c r="CL56" i="1" s="1"/>
  <c r="DJ56" i="1" s="1"/>
  <c r="ED63" i="1" l="1"/>
  <c r="CM63" i="1" s="1"/>
  <c r="CW56" i="1"/>
  <c r="CZ56" i="1"/>
  <c r="EA66" i="1"/>
  <c r="EB65" i="1"/>
  <c r="DX65" i="1"/>
  <c r="DY64" i="1"/>
  <c r="EC64" i="1" s="1"/>
  <c r="DZ72" i="1"/>
  <c r="DD56" i="1"/>
  <c r="DF56" i="1" s="1"/>
  <c r="DZ73" i="1" l="1"/>
  <c r="DX66" i="1"/>
  <c r="DY65" i="1"/>
  <c r="EC65" i="1" s="1"/>
  <c r="ED65" i="1"/>
  <c r="CM65" i="1" s="1"/>
  <c r="EA67" i="1"/>
  <c r="EB66" i="1"/>
  <c r="ED64" i="1"/>
  <c r="CM64" i="1" s="1"/>
  <c r="CN57" i="1"/>
  <c r="DA56" i="1"/>
  <c r="CX68" i="1"/>
  <c r="CY68" i="1" s="1"/>
  <c r="DB56" i="1"/>
  <c r="EA68" i="1" l="1"/>
  <c r="EB67" i="1"/>
  <c r="CV57" i="1"/>
  <c r="CX57" i="1" s="1"/>
  <c r="CY57" i="1" s="1"/>
  <c r="DC56" i="1"/>
  <c r="DY66" i="1"/>
  <c r="EC66" i="1" s="1"/>
  <c r="DX67" i="1"/>
  <c r="CP57" i="1"/>
  <c r="CU57" i="1" s="1"/>
  <c r="DZ74" i="1"/>
  <c r="DE56" i="1"/>
  <c r="CL57" i="1" s="1"/>
  <c r="DJ57" i="1" s="1"/>
  <c r="CW57" i="1" l="1"/>
  <c r="CZ57" i="1" s="1"/>
  <c r="DX68" i="1"/>
  <c r="DY67" i="1"/>
  <c r="EC67" i="1" s="1"/>
  <c r="ED66" i="1"/>
  <c r="CM66" i="1" s="1"/>
  <c r="DZ75" i="1"/>
  <c r="DD57" i="1"/>
  <c r="EA69" i="1"/>
  <c r="EB68" i="1"/>
  <c r="DZ76" i="1" l="1"/>
  <c r="DX69" i="1"/>
  <c r="DY68" i="1"/>
  <c r="EC68" i="1" s="1"/>
  <c r="EA70" i="1"/>
  <c r="EB69" i="1"/>
  <c r="DA57" i="1"/>
  <c r="CN58" i="1"/>
  <c r="ED67" i="1"/>
  <c r="CM67" i="1" s="1"/>
  <c r="CX69" i="1"/>
  <c r="CY69" i="1" s="1"/>
  <c r="DB57" i="1"/>
  <c r="ED68" i="1" l="1"/>
  <c r="CM68" i="1" s="1"/>
  <c r="EA71" i="1"/>
  <c r="EB70" i="1"/>
  <c r="CV58" i="1"/>
  <c r="CX58" i="1" s="1"/>
  <c r="CY58" i="1" s="1"/>
  <c r="DC57" i="1"/>
  <c r="DX70" i="1"/>
  <c r="DY69" i="1"/>
  <c r="EC69" i="1" s="1"/>
  <c r="CP58" i="1"/>
  <c r="CU58" i="1" s="1"/>
  <c r="DE57" i="1"/>
  <c r="CL58" i="1" s="1"/>
  <c r="DJ58" i="1" s="1"/>
  <c r="DZ77" i="1"/>
  <c r="CW58" i="1" l="1"/>
  <c r="CX70" i="1" s="1"/>
  <c r="CY70" i="1" s="1"/>
  <c r="DX71" i="1"/>
  <c r="DY70" i="1"/>
  <c r="EC70" i="1" s="1"/>
  <c r="DZ78" i="1"/>
  <c r="DB58" i="1"/>
  <c r="DD58" i="1"/>
  <c r="DF58" i="1" s="1"/>
  <c r="EA72" i="1"/>
  <c r="EB71" i="1"/>
  <c r="ED69" i="1"/>
  <c r="CM69" i="1" s="1"/>
  <c r="DC58" i="1" l="1"/>
  <c r="CV59" i="1"/>
  <c r="CX59" i="1" s="1"/>
  <c r="CY59" i="1" s="1"/>
  <c r="DZ79" i="1"/>
  <c r="DY71" i="1"/>
  <c r="EC71" i="1" s="1"/>
  <c r="DX72" i="1"/>
  <c r="EA73" i="1"/>
  <c r="EB72" i="1"/>
  <c r="ED70" i="1"/>
  <c r="CM70" i="1" s="1"/>
  <c r="CZ58" i="1"/>
  <c r="ED71" i="1" l="1"/>
  <c r="CM71" i="1" s="1"/>
  <c r="DZ80" i="1"/>
  <c r="DX73" i="1"/>
  <c r="DY72" i="1"/>
  <c r="EC72" i="1" s="1"/>
  <c r="DE58" i="1"/>
  <c r="CL59" i="1" s="1"/>
  <c r="DJ59" i="1" s="1"/>
  <c r="CN59" i="1"/>
  <c r="DA58" i="1"/>
  <c r="EA74" i="1"/>
  <c r="EB73" i="1"/>
  <c r="CP59" i="1" l="1"/>
  <c r="CU59" i="1" s="1"/>
  <c r="DD59" i="1"/>
  <c r="DX74" i="1"/>
  <c r="DY73" i="1"/>
  <c r="EC73" i="1" s="1"/>
  <c r="ED72" i="1"/>
  <c r="CM72" i="1" s="1"/>
  <c r="DZ81" i="1"/>
  <c r="EA75" i="1"/>
  <c r="EB74" i="1"/>
  <c r="DZ82" i="1" l="1"/>
  <c r="ED73" i="1"/>
  <c r="CM73" i="1" s="1"/>
  <c r="EA76" i="1"/>
  <c r="EB75" i="1"/>
  <c r="CW59" i="1"/>
  <c r="DX75" i="1"/>
  <c r="DY74" i="1"/>
  <c r="EC74" i="1" s="1"/>
  <c r="ED74" i="1" l="1"/>
  <c r="CM74" i="1" s="1"/>
  <c r="CX71" i="1"/>
  <c r="CY71" i="1" s="1"/>
  <c r="DB59" i="1"/>
  <c r="CZ59" i="1"/>
  <c r="EA77" i="1"/>
  <c r="EB76" i="1"/>
  <c r="DZ83" i="1"/>
  <c r="DX76" i="1"/>
  <c r="DY75" i="1"/>
  <c r="EC75" i="1" s="1"/>
  <c r="ED75" i="1" l="1"/>
  <c r="CM75" i="1" s="1"/>
  <c r="EA78" i="1"/>
  <c r="EB77" i="1"/>
  <c r="DZ84" i="1"/>
  <c r="DE59" i="1"/>
  <c r="CL60" i="1" s="1"/>
  <c r="DJ60" i="1" s="1"/>
  <c r="CN60" i="1"/>
  <c r="DA59" i="1"/>
  <c r="CV60" i="1"/>
  <c r="CX60" i="1" s="1"/>
  <c r="CY60" i="1" s="1"/>
  <c r="DC59" i="1"/>
  <c r="DY76" i="1"/>
  <c r="EC76" i="1" s="1"/>
  <c r="DX77" i="1"/>
  <c r="DX78" i="1" l="1"/>
  <c r="DY77" i="1"/>
  <c r="EC77" i="1" s="1"/>
  <c r="DZ85" i="1"/>
  <c r="ED77" i="1"/>
  <c r="CM77" i="1" s="1"/>
  <c r="DD60" i="1"/>
  <c r="DF60" i="1" s="1"/>
  <c r="CP60" i="1"/>
  <c r="CU60" i="1" s="1"/>
  <c r="ED76" i="1"/>
  <c r="CM76" i="1" s="1"/>
  <c r="EA79" i="1"/>
  <c r="EB78" i="1"/>
  <c r="DZ86" i="1" l="1"/>
  <c r="CW60" i="1"/>
  <c r="CZ60" i="1" s="1"/>
  <c r="EA80" i="1"/>
  <c r="EB79" i="1"/>
  <c r="DY78" i="1"/>
  <c r="EC78" i="1" s="1"/>
  <c r="DX79" i="1"/>
  <c r="EA81" i="1" l="1"/>
  <c r="EB80" i="1"/>
  <c r="DA60" i="1"/>
  <c r="CN61" i="1"/>
  <c r="DZ87" i="1"/>
  <c r="CX72" i="1"/>
  <c r="CY72" i="1" s="1"/>
  <c r="DB60" i="1"/>
  <c r="DE60" i="1" s="1"/>
  <c r="CL61" i="1" s="1"/>
  <c r="DJ61" i="1" s="1"/>
  <c r="DX80" i="1"/>
  <c r="DY79" i="1"/>
  <c r="EC79" i="1" s="1"/>
  <c r="ED78" i="1"/>
  <c r="CM78" i="1" s="1"/>
  <c r="ED79" i="1" l="1"/>
  <c r="CM79" i="1" s="1"/>
  <c r="DX81" i="1"/>
  <c r="DY80" i="1"/>
  <c r="EC80" i="1" s="1"/>
  <c r="DZ88" i="1"/>
  <c r="DC60" i="1"/>
  <c r="CV61" i="1"/>
  <c r="CX61" i="1" s="1"/>
  <c r="CY61" i="1" s="1"/>
  <c r="ED80" i="1"/>
  <c r="CM80" i="1" s="1"/>
  <c r="CP61" i="1"/>
  <c r="CU61" i="1" s="1"/>
  <c r="EA82" i="1"/>
  <c r="EB81" i="1"/>
  <c r="DD61" i="1" l="1"/>
  <c r="CW61" i="1"/>
  <c r="CX73" i="1" s="1"/>
  <c r="CY73" i="1" s="1"/>
  <c r="EA83" i="1"/>
  <c r="EB82" i="1"/>
  <c r="DZ89" i="1"/>
  <c r="DX82" i="1"/>
  <c r="DY81" i="1"/>
  <c r="EC81" i="1" s="1"/>
  <c r="CZ61" i="1" l="1"/>
  <c r="DY82" i="1"/>
  <c r="EC82" i="1" s="1"/>
  <c r="DX83" i="1"/>
  <c r="DB61" i="1"/>
  <c r="DZ90" i="1"/>
  <c r="EA84" i="1"/>
  <c r="EB83" i="1"/>
  <c r="ED81" i="1"/>
  <c r="CM81" i="1" s="1"/>
  <c r="EA85" i="1" l="1"/>
  <c r="EB84" i="1"/>
  <c r="DZ91" i="1"/>
  <c r="CV62" i="1"/>
  <c r="CX62" i="1" s="1"/>
  <c r="CY62" i="1" s="1"/>
  <c r="DC61" i="1"/>
  <c r="DY83" i="1"/>
  <c r="EC83" i="1" s="1"/>
  <c r="DX84" i="1"/>
  <c r="CN62" i="1"/>
  <c r="DE61" i="1"/>
  <c r="CL62" i="1" s="1"/>
  <c r="DJ62" i="1" s="1"/>
  <c r="DA61" i="1"/>
  <c r="ED82" i="1"/>
  <c r="CM82" i="1" s="1"/>
  <c r="ED83" i="1" l="1"/>
  <c r="CM83" i="1" s="1"/>
  <c r="DZ92" i="1"/>
  <c r="DD62" i="1"/>
  <c r="DF62" i="1" s="1"/>
  <c r="CP62" i="1"/>
  <c r="CU62" i="1" s="1"/>
  <c r="DX85" i="1"/>
  <c r="DY84" i="1"/>
  <c r="EC84" i="1" s="1"/>
  <c r="EA86" i="1"/>
  <c r="EB85" i="1"/>
  <c r="ED84" i="1" l="1"/>
  <c r="CM84" i="1" s="1"/>
  <c r="DX86" i="1"/>
  <c r="DY85" i="1"/>
  <c r="EC85" i="1" s="1"/>
  <c r="CW62" i="1"/>
  <c r="ED85" i="1"/>
  <c r="CM85" i="1" s="1"/>
  <c r="DZ93" i="1"/>
  <c r="EA87" i="1"/>
  <c r="EB86" i="1"/>
  <c r="EA88" i="1" l="1"/>
  <c r="EB87" i="1"/>
  <c r="DZ94" i="1"/>
  <c r="CX74" i="1"/>
  <c r="CY74" i="1" s="1"/>
  <c r="DB62" i="1"/>
  <c r="CZ62" i="1"/>
  <c r="DY86" i="1"/>
  <c r="EC86" i="1" s="1"/>
  <c r="DX87" i="1"/>
  <c r="ED86" i="1" l="1"/>
  <c r="CM86" i="1" s="1"/>
  <c r="DA62" i="1"/>
  <c r="CN63" i="1"/>
  <c r="DE62" i="1"/>
  <c r="CL63" i="1" s="1"/>
  <c r="DJ63" i="1" s="1"/>
  <c r="CV63" i="1"/>
  <c r="CX63" i="1" s="1"/>
  <c r="CY63" i="1" s="1"/>
  <c r="DC62" i="1"/>
  <c r="DZ95" i="1"/>
  <c r="DY87" i="1"/>
  <c r="EC87" i="1" s="1"/>
  <c r="DX88" i="1"/>
  <c r="ED87" i="1"/>
  <c r="CM87" i="1" s="1"/>
  <c r="EA89" i="1"/>
  <c r="EB88" i="1"/>
  <c r="DZ96" i="1" l="1"/>
  <c r="EA90" i="1"/>
  <c r="EB89" i="1"/>
  <c r="DX89" i="1"/>
  <c r="DY88" i="1"/>
  <c r="EC88" i="1" s="1"/>
  <c r="DD63" i="1"/>
  <c r="CP63" i="1"/>
  <c r="CU63" i="1" s="1"/>
  <c r="CW63" i="1" l="1"/>
  <c r="DY89" i="1"/>
  <c r="EC89" i="1" s="1"/>
  <c r="DX90" i="1"/>
  <c r="ED89" i="1"/>
  <c r="CM89" i="1" s="1"/>
  <c r="EA91" i="1"/>
  <c r="EB90" i="1"/>
  <c r="ED88" i="1"/>
  <c r="CM88" i="1" s="1"/>
  <c r="DZ97" i="1"/>
  <c r="EA92" i="1" l="1"/>
  <c r="EB91" i="1"/>
  <c r="DX91" i="1"/>
  <c r="DY90" i="1"/>
  <c r="EC90" i="1" s="1"/>
  <c r="CX75" i="1"/>
  <c r="CY75" i="1" s="1"/>
  <c r="DB63" i="1"/>
  <c r="DZ98" i="1"/>
  <c r="CZ63" i="1"/>
  <c r="CV64" i="1" l="1"/>
  <c r="CX64" i="1" s="1"/>
  <c r="CY64" i="1" s="1"/>
  <c r="DC63" i="1"/>
  <c r="DX92" i="1"/>
  <c r="DY91" i="1"/>
  <c r="EC91" i="1" s="1"/>
  <c r="ED91" i="1"/>
  <c r="CM91" i="1" s="1"/>
  <c r="DA63" i="1"/>
  <c r="DE63" i="1"/>
  <c r="CL64" i="1" s="1"/>
  <c r="DJ64" i="1" s="1"/>
  <c r="CN64" i="1"/>
  <c r="EA93" i="1"/>
  <c r="EB92" i="1"/>
  <c r="DZ99" i="1"/>
  <c r="ED90" i="1"/>
  <c r="CM90" i="1" s="1"/>
  <c r="DZ100" i="1" l="1"/>
  <c r="DY92" i="1"/>
  <c r="EC92" i="1" s="1"/>
  <c r="DX93" i="1"/>
  <c r="ED92" i="1"/>
  <c r="CM92" i="1" s="1"/>
  <c r="EA94" i="1"/>
  <c r="EB93" i="1"/>
  <c r="DD64" i="1"/>
  <c r="DF64" i="1" s="1"/>
  <c r="CP64" i="1"/>
  <c r="CU64" i="1" s="1"/>
  <c r="CW64" i="1" l="1"/>
  <c r="EA95" i="1"/>
  <c r="EB94" i="1"/>
  <c r="DX94" i="1"/>
  <c r="DY93" i="1"/>
  <c r="EC93" i="1" s="1"/>
  <c r="DZ101" i="1"/>
  <c r="DY94" i="1" l="1"/>
  <c r="EC94" i="1" s="1"/>
  <c r="DX95" i="1"/>
  <c r="ED94" i="1"/>
  <c r="CM94" i="1" s="1"/>
  <c r="EA96" i="1"/>
  <c r="EB95" i="1"/>
  <c r="ED93" i="1"/>
  <c r="CM93" i="1" s="1"/>
  <c r="CX76" i="1"/>
  <c r="CY76" i="1" s="1"/>
  <c r="DB64" i="1"/>
  <c r="CZ64" i="1"/>
  <c r="EA97" i="1" l="1"/>
  <c r="EB96" i="1"/>
  <c r="DX96" i="1"/>
  <c r="DY95" i="1"/>
  <c r="EC95" i="1" s="1"/>
  <c r="DA64" i="1"/>
  <c r="CN65" i="1"/>
  <c r="DE64" i="1"/>
  <c r="CL65" i="1" s="1"/>
  <c r="DJ65" i="1" s="1"/>
  <c r="CV65" i="1"/>
  <c r="CX65" i="1" s="1"/>
  <c r="CY65" i="1" s="1"/>
  <c r="DC64" i="1"/>
  <c r="CP65" i="1" l="1"/>
  <c r="CU65" i="1"/>
  <c r="DD65" i="1"/>
  <c r="DX97" i="1"/>
  <c r="DY96" i="1"/>
  <c r="EC96" i="1" s="1"/>
  <c r="ED96" i="1"/>
  <c r="CM96" i="1" s="1"/>
  <c r="EA98" i="1"/>
  <c r="EB97" i="1"/>
  <c r="ED95" i="1"/>
  <c r="CM95" i="1" s="1"/>
  <c r="EA99" i="1" l="1"/>
  <c r="EB98" i="1"/>
  <c r="DY97" i="1"/>
  <c r="EC97" i="1" s="1"/>
  <c r="DX98" i="1"/>
  <c r="CW65" i="1"/>
  <c r="CX77" i="1" l="1"/>
  <c r="CY77" i="1" s="1"/>
  <c r="DB65" i="1"/>
  <c r="CZ65" i="1"/>
  <c r="DY98" i="1"/>
  <c r="EC98" i="1" s="1"/>
  <c r="DX99" i="1"/>
  <c r="ED98" i="1"/>
  <c r="CM98" i="1" s="1"/>
  <c r="EA100" i="1"/>
  <c r="EB99" i="1"/>
  <c r="ED97" i="1"/>
  <c r="CM97" i="1" s="1"/>
  <c r="EA101" i="1" l="1"/>
  <c r="EB100" i="1"/>
  <c r="DX100" i="1"/>
  <c r="DY99" i="1"/>
  <c r="EC99" i="1" s="1"/>
  <c r="CN66" i="1"/>
  <c r="DE65" i="1"/>
  <c r="CL66" i="1" s="1"/>
  <c r="CV66" i="1"/>
  <c r="DC65" i="1"/>
  <c r="DJ66" i="1" l="1"/>
  <c r="DK66" i="1"/>
  <c r="DD66" i="1"/>
  <c r="DF66" i="1" s="1"/>
  <c r="CP66" i="1"/>
  <c r="CU66" i="1" s="1"/>
  <c r="DX101" i="1"/>
  <c r="DY100" i="1"/>
  <c r="EC100" i="1" s="1"/>
  <c r="EA102" i="1"/>
  <c r="EB101" i="1"/>
  <c r="ED99" i="1"/>
  <c r="CM99" i="1" s="1"/>
  <c r="CW66" i="1" l="1"/>
  <c r="DX102" i="1"/>
  <c r="DY101" i="1"/>
  <c r="EC101" i="1" s="1"/>
  <c r="ED101" i="1"/>
  <c r="CM101" i="1" s="1"/>
  <c r="EB102" i="1"/>
  <c r="EA103" i="1"/>
  <c r="EA104" i="1" s="1"/>
  <c r="EA105" i="1" s="1"/>
  <c r="EA106" i="1" s="1"/>
  <c r="EA107" i="1" s="1"/>
  <c r="EA108" i="1" s="1"/>
  <c r="EA109" i="1" s="1"/>
  <c r="EA110" i="1" s="1"/>
  <c r="EA111" i="1" s="1"/>
  <c r="EA112" i="1" s="1"/>
  <c r="EA113" i="1" s="1"/>
  <c r="EA114" i="1" s="1"/>
  <c r="EA115" i="1" s="1"/>
  <c r="EA116" i="1" s="1"/>
  <c r="EA117" i="1" s="1"/>
  <c r="EA118" i="1" s="1"/>
  <c r="EA119" i="1" s="1"/>
  <c r="EA120" i="1" s="1"/>
  <c r="EA121" i="1" s="1"/>
  <c r="EA122" i="1" s="1"/>
  <c r="EA123" i="1" s="1"/>
  <c r="EA124" i="1" s="1"/>
  <c r="EA125" i="1" s="1"/>
  <c r="EA126" i="1" s="1"/>
  <c r="ED100" i="1"/>
  <c r="CM100" i="1" s="1"/>
  <c r="DX103" i="1" l="1"/>
  <c r="DY103" i="1" s="1"/>
  <c r="DY102" i="1"/>
  <c r="EC102" i="1" s="1"/>
  <c r="CX78" i="1"/>
  <c r="CY78" i="1" s="1"/>
  <c r="DB66" i="1"/>
  <c r="CZ66" i="1"/>
  <c r="CN67" i="1" l="1"/>
  <c r="DA66" i="1"/>
  <c r="DH66" i="1"/>
  <c r="DE66" i="1"/>
  <c r="CL67" i="1" s="1"/>
  <c r="DJ67" i="1" s="1"/>
  <c r="DC66" i="1"/>
  <c r="CV67" i="1"/>
  <c r="EC103" i="1"/>
  <c r="ED103" i="1"/>
  <c r="CM103" i="1" s="1"/>
  <c r="ED102" i="1"/>
  <c r="CM102" i="1" s="1"/>
  <c r="CT71" i="1" l="1"/>
  <c r="CS70" i="1"/>
  <c r="CP67" i="1"/>
  <c r="DD67" i="1"/>
  <c r="CU67" i="1"/>
  <c r="CW67" i="1" l="1"/>
  <c r="CZ67" i="1"/>
  <c r="CN68" i="1" l="1"/>
  <c r="CQ68" i="1" s="1"/>
  <c r="DG68" i="1" s="1"/>
  <c r="DA67" i="1"/>
  <c r="CX79" i="1"/>
  <c r="CY79" i="1" s="1"/>
  <c r="DB67" i="1"/>
  <c r="CV68" i="1" l="1"/>
  <c r="DC67" i="1"/>
  <c r="CP68" i="1"/>
  <c r="DD68" i="1"/>
  <c r="DF68" i="1" s="1"/>
  <c r="CU68" i="1"/>
  <c r="DE67" i="1"/>
  <c r="CL68" i="1" s="1"/>
  <c r="DJ68" i="1" s="1"/>
  <c r="CW68" i="1" l="1"/>
  <c r="CZ68" i="1" s="1"/>
  <c r="DA68" i="1" l="1"/>
  <c r="CN69" i="1"/>
  <c r="CR69" i="1" s="1"/>
  <c r="CX80" i="1"/>
  <c r="CY80" i="1" s="1"/>
  <c r="DB68" i="1"/>
  <c r="CV69" i="1" l="1"/>
  <c r="DC68" i="1"/>
  <c r="CP69" i="1"/>
  <c r="DI69" i="1" s="1"/>
  <c r="DD69" i="1"/>
  <c r="CU69" i="1"/>
  <c r="DE68" i="1"/>
  <c r="CL69" i="1" s="1"/>
  <c r="DJ69" i="1" s="1"/>
  <c r="CW69" i="1" l="1"/>
  <c r="CX81" i="1" l="1"/>
  <c r="CY81" i="1" s="1"/>
  <c r="DB69" i="1"/>
  <c r="CZ69" i="1"/>
  <c r="CN70" i="1" l="1"/>
  <c r="DE69" i="1"/>
  <c r="CL70" i="1" s="1"/>
  <c r="DJ70" i="1" s="1"/>
  <c r="DA69" i="1"/>
  <c r="CV70" i="1"/>
  <c r="DC69" i="1"/>
  <c r="DD70" i="1" l="1"/>
  <c r="DF70" i="1" s="1"/>
  <c r="CP70" i="1"/>
  <c r="CU70" i="1"/>
  <c r="CW70" i="1" l="1"/>
  <c r="CX82" i="1" l="1"/>
  <c r="CY82" i="1" s="1"/>
  <c r="DB70" i="1"/>
  <c r="CZ70" i="1"/>
  <c r="CN71" i="1" l="1"/>
  <c r="DE70" i="1"/>
  <c r="CL71" i="1" s="1"/>
  <c r="DJ71" i="1" s="1"/>
  <c r="DA70" i="1"/>
  <c r="CV71" i="1"/>
  <c r="DC70" i="1"/>
  <c r="DD71" i="1" l="1"/>
  <c r="CP71" i="1"/>
  <c r="CU71" i="1" s="1"/>
  <c r="CW71" i="1" l="1"/>
  <c r="CZ71" i="1"/>
  <c r="CN72" i="1" l="1"/>
  <c r="DA71" i="1"/>
  <c r="CX83" i="1"/>
  <c r="CY83" i="1" s="1"/>
  <c r="DB71" i="1"/>
  <c r="CV72" i="1" l="1"/>
  <c r="DC71" i="1"/>
  <c r="DE71" i="1"/>
  <c r="CL72" i="1" s="1"/>
  <c r="DD72" i="1"/>
  <c r="DF72" i="1" s="1"/>
  <c r="CP72" i="1"/>
  <c r="CU72" i="1" s="1"/>
  <c r="CW72" i="1" l="1"/>
  <c r="CX84" i="1" s="1"/>
  <c r="CY84" i="1" s="1"/>
  <c r="CZ72" i="1"/>
  <c r="DB72" i="1"/>
  <c r="DK72" i="1"/>
  <c r="DJ72" i="1"/>
  <c r="CV73" i="1" l="1"/>
  <c r="DC72" i="1"/>
  <c r="DE72" i="1"/>
  <c r="CL73" i="1" s="1"/>
  <c r="DJ73" i="1" s="1"/>
  <c r="DA72" i="1"/>
  <c r="CN73" i="1"/>
  <c r="DD73" i="1" l="1"/>
  <c r="CP73" i="1"/>
  <c r="CU73" i="1" s="1"/>
  <c r="CW73" i="1" l="1"/>
  <c r="CX85" i="1" l="1"/>
  <c r="CY85" i="1" s="1"/>
  <c r="DB73" i="1"/>
  <c r="CZ73" i="1"/>
  <c r="DE73" i="1" l="1"/>
  <c r="CL74" i="1" s="1"/>
  <c r="DJ74" i="1" s="1"/>
  <c r="DA73" i="1"/>
  <c r="CN74" i="1"/>
  <c r="DC73" i="1"/>
  <c r="CV74" i="1"/>
  <c r="DD74" i="1" l="1"/>
  <c r="DF74" i="1" s="1"/>
  <c r="CP74" i="1"/>
  <c r="CU74" i="1" s="1"/>
  <c r="CW74" i="1" l="1"/>
  <c r="CX86" i="1" l="1"/>
  <c r="CY86" i="1" s="1"/>
  <c r="DB74" i="1"/>
  <c r="CZ74" i="1"/>
  <c r="CN75" i="1" l="1"/>
  <c r="DA74" i="1"/>
  <c r="DH74" i="1"/>
  <c r="DE74" i="1"/>
  <c r="CL75" i="1" s="1"/>
  <c r="DJ75" i="1" s="1"/>
  <c r="DC74" i="1"/>
  <c r="CV75" i="1"/>
  <c r="CP75" i="1" l="1"/>
  <c r="CU75" i="1" s="1"/>
  <c r="DD75" i="1"/>
  <c r="CW75" i="1" l="1"/>
  <c r="CX87" i="1" l="1"/>
  <c r="CY87" i="1" s="1"/>
  <c r="DB75" i="1"/>
  <c r="CZ75" i="1"/>
  <c r="DA75" i="1" l="1"/>
  <c r="CN76" i="1"/>
  <c r="DE75" i="1"/>
  <c r="CL76" i="1" s="1"/>
  <c r="DJ76" i="1" s="1"/>
  <c r="CV76" i="1"/>
  <c r="DC75" i="1"/>
  <c r="CP76" i="1" l="1"/>
  <c r="CU76" i="1" s="1"/>
  <c r="DD76" i="1"/>
  <c r="DF76" i="1" s="1"/>
  <c r="CW76" i="1" l="1"/>
  <c r="CX88" i="1" l="1"/>
  <c r="CY88" i="1" s="1"/>
  <c r="DB76" i="1"/>
  <c r="CZ76" i="1"/>
  <c r="CN77" i="1" l="1"/>
  <c r="DE76" i="1"/>
  <c r="CL77" i="1" s="1"/>
  <c r="DJ77" i="1" s="1"/>
  <c r="DA76" i="1"/>
  <c r="DC76" i="1"/>
  <c r="CV77" i="1"/>
  <c r="CS80" i="1" l="1"/>
  <c r="CT81" i="1"/>
  <c r="CP77" i="1"/>
  <c r="CU77" i="1" s="1"/>
  <c r="DD77" i="1"/>
  <c r="CW77" i="1" l="1"/>
  <c r="CZ77" i="1"/>
  <c r="CN78" i="1" l="1"/>
  <c r="CQ78" i="1" s="1"/>
  <c r="DG78" i="1" s="1"/>
  <c r="DA77" i="1"/>
  <c r="CX89" i="1"/>
  <c r="CY89" i="1" s="1"/>
  <c r="DB77" i="1"/>
  <c r="CV78" i="1" l="1"/>
  <c r="DC77" i="1"/>
  <c r="DD78" i="1"/>
  <c r="DF78" i="1" s="1"/>
  <c r="CP78" i="1"/>
  <c r="DE77" i="1"/>
  <c r="CL78" i="1" s="1"/>
  <c r="CU78" i="1" l="1"/>
  <c r="CW78" i="1"/>
  <c r="DK78" i="1"/>
  <c r="DJ78" i="1"/>
  <c r="CX90" i="1" l="1"/>
  <c r="CY90" i="1" s="1"/>
  <c r="DB78" i="1"/>
  <c r="CZ78" i="1"/>
  <c r="DE78" i="1" l="1"/>
  <c r="CL79" i="1" s="1"/>
  <c r="DJ79" i="1" s="1"/>
  <c r="DA78" i="1"/>
  <c r="CN79" i="1"/>
  <c r="CR79" i="1" s="1"/>
  <c r="CV79" i="1"/>
  <c r="DC78" i="1"/>
  <c r="DD79" i="1" l="1"/>
  <c r="CP79" i="1"/>
  <c r="CU79" i="1" l="1"/>
  <c r="DI79" i="1"/>
  <c r="CW79" i="1"/>
  <c r="CX91" i="1" l="1"/>
  <c r="CY91" i="1" s="1"/>
  <c r="DB79" i="1"/>
  <c r="CZ79" i="1"/>
  <c r="DE79" i="1" l="1"/>
  <c r="CL80" i="1" s="1"/>
  <c r="DJ80" i="1" s="1"/>
  <c r="DA79" i="1"/>
  <c r="CN80" i="1"/>
  <c r="DC79" i="1"/>
  <c r="CV80" i="1"/>
  <c r="DD80" i="1" l="1"/>
  <c r="DF80" i="1" s="1"/>
  <c r="CP80" i="1"/>
  <c r="CU80" i="1" s="1"/>
  <c r="CW80" i="1" l="1"/>
  <c r="CZ80" i="1" s="1"/>
  <c r="DA80" i="1" l="1"/>
  <c r="CN81" i="1"/>
  <c r="CX92" i="1"/>
  <c r="CY92" i="1" s="1"/>
  <c r="DB80" i="1"/>
  <c r="DC80" i="1" l="1"/>
  <c r="CV81" i="1"/>
  <c r="CP81" i="1"/>
  <c r="DD81" i="1"/>
  <c r="CU81" i="1"/>
  <c r="DE80" i="1"/>
  <c r="CL81" i="1" s="1"/>
  <c r="DJ81" i="1" s="1"/>
  <c r="CW81" i="1" l="1"/>
  <c r="CX93" i="1" s="1"/>
  <c r="CY93" i="1" s="1"/>
  <c r="CZ81" i="1" l="1"/>
  <c r="DB81" i="1"/>
  <c r="CV82" i="1" l="1"/>
  <c r="DC81" i="1"/>
  <c r="DA81" i="1"/>
  <c r="CN82" i="1"/>
  <c r="DE81" i="1"/>
  <c r="CL82" i="1" s="1"/>
  <c r="DJ82" i="1" s="1"/>
  <c r="DD82" i="1" l="1"/>
  <c r="DF82" i="1" s="1"/>
  <c r="CP82" i="1"/>
  <c r="CU82" i="1" s="1"/>
  <c r="CW82" i="1" l="1"/>
  <c r="CZ82" i="1"/>
  <c r="CN83" i="1" l="1"/>
  <c r="DA82" i="1"/>
  <c r="CX94" i="1"/>
  <c r="CY94" i="1" s="1"/>
  <c r="DB82" i="1"/>
  <c r="CV83" i="1" l="1"/>
  <c r="DC82" i="1"/>
  <c r="DD83" i="1"/>
  <c r="CP83" i="1"/>
  <c r="CU83" i="1"/>
  <c r="DE82" i="1"/>
  <c r="CL83" i="1" s="1"/>
  <c r="DJ83" i="1" s="1"/>
  <c r="CW83" i="1" l="1"/>
  <c r="CX95" i="1" l="1"/>
  <c r="CY95" i="1" s="1"/>
  <c r="DB83" i="1"/>
  <c r="CZ83" i="1"/>
  <c r="CN84" i="1" l="1"/>
  <c r="DA83" i="1"/>
  <c r="DE83" i="1"/>
  <c r="CL84" i="1" s="1"/>
  <c r="CV84" i="1"/>
  <c r="DC83" i="1"/>
  <c r="DK84" i="1" l="1"/>
  <c r="DJ84" i="1"/>
  <c r="DD84" i="1"/>
  <c r="DF84" i="1" s="1"/>
  <c r="CP84" i="1"/>
  <c r="CU84" i="1" s="1"/>
  <c r="CW84" i="1" l="1"/>
  <c r="CZ84" i="1"/>
  <c r="CN85" i="1" l="1"/>
  <c r="DH84" i="1"/>
  <c r="DA84" i="1"/>
  <c r="CX96" i="1"/>
  <c r="CY96" i="1" s="1"/>
  <c r="DB84" i="1"/>
  <c r="CV85" i="1" l="1"/>
  <c r="DC84" i="1"/>
  <c r="DE84" i="1"/>
  <c r="CL85" i="1" s="1"/>
  <c r="DJ85" i="1" s="1"/>
  <c r="DD85" i="1"/>
  <c r="CP85" i="1"/>
  <c r="CS88" i="1"/>
  <c r="CT89" i="1"/>
  <c r="CU85" i="1" l="1"/>
  <c r="CW85" i="1" l="1"/>
  <c r="CZ85" i="1" s="1"/>
  <c r="CN86" i="1" l="1"/>
  <c r="DA85" i="1"/>
  <c r="CX97" i="1"/>
  <c r="CY97" i="1" s="1"/>
  <c r="DB85" i="1"/>
  <c r="DC85" i="1" l="1"/>
  <c r="CV86" i="1"/>
  <c r="CP86" i="1"/>
  <c r="DD86" i="1"/>
  <c r="DF86" i="1" s="1"/>
  <c r="CQ86" i="1"/>
  <c r="DG86" i="1" s="1"/>
  <c r="DE85" i="1"/>
  <c r="CL86" i="1" s="1"/>
  <c r="DJ86" i="1" s="1"/>
  <c r="CU86" i="1" l="1"/>
  <c r="CW86" i="1" l="1"/>
  <c r="CX98" i="1" l="1"/>
  <c r="CY98" i="1" s="1"/>
  <c r="DB86" i="1"/>
  <c r="CZ86" i="1"/>
  <c r="DE86" i="1" l="1"/>
  <c r="CL87" i="1" s="1"/>
  <c r="DJ87" i="1" s="1"/>
  <c r="CN87" i="1"/>
  <c r="DA86" i="1"/>
  <c r="DC86" i="1"/>
  <c r="CV87" i="1"/>
  <c r="CP87" i="1" l="1"/>
  <c r="DD87" i="1"/>
  <c r="CR87" i="1"/>
  <c r="CU87" i="1" s="1"/>
  <c r="CW87" i="1" l="1"/>
  <c r="DI87" i="1"/>
  <c r="CX99" i="1" l="1"/>
  <c r="CY99" i="1" s="1"/>
  <c r="DB87" i="1"/>
  <c r="CZ87" i="1"/>
  <c r="CN88" i="1" l="1"/>
  <c r="DA87" i="1"/>
  <c r="DE87" i="1"/>
  <c r="CL88" i="1" s="1"/>
  <c r="DJ88" i="1" s="1"/>
  <c r="CV88" i="1"/>
  <c r="DC87" i="1"/>
  <c r="DD88" i="1" l="1"/>
  <c r="DF88" i="1" s="1"/>
  <c r="CP88" i="1"/>
  <c r="CU88" i="1" s="1"/>
  <c r="CW88" i="1" l="1"/>
  <c r="CZ88" i="1"/>
  <c r="CN89" i="1" l="1"/>
  <c r="DA88" i="1"/>
  <c r="CX100" i="1"/>
  <c r="CY100" i="1" s="1"/>
  <c r="DB88" i="1"/>
  <c r="DC88" i="1" l="1"/>
  <c r="CV89" i="1"/>
  <c r="CP89" i="1"/>
  <c r="DD89" i="1"/>
  <c r="CU89" i="1"/>
  <c r="DE88" i="1"/>
  <c r="CL89" i="1" s="1"/>
  <c r="DJ89" i="1" s="1"/>
  <c r="CW89" i="1" l="1"/>
  <c r="CZ89" i="1" s="1"/>
  <c r="DA89" i="1" l="1"/>
  <c r="CN90" i="1"/>
  <c r="CX101" i="1"/>
  <c r="CY101" i="1" s="1"/>
  <c r="DB89" i="1"/>
  <c r="DC89" i="1" l="1"/>
  <c r="CV90" i="1"/>
  <c r="DD90" i="1"/>
  <c r="DF90" i="1" s="1"/>
  <c r="CP90" i="1"/>
  <c r="CU90" i="1" s="1"/>
  <c r="DE89" i="1"/>
  <c r="CL90" i="1" s="1"/>
  <c r="CW90" i="1" l="1"/>
  <c r="CX102" i="1" s="1"/>
  <c r="CY102" i="1" s="1"/>
  <c r="DB90" i="1"/>
  <c r="DK90" i="1"/>
  <c r="DJ90" i="1"/>
  <c r="DC90" i="1" l="1"/>
  <c r="CV91" i="1"/>
  <c r="CZ90" i="1"/>
  <c r="DA90" i="1" l="1"/>
  <c r="CN91" i="1"/>
  <c r="DE90" i="1"/>
  <c r="CL91" i="1" s="1"/>
  <c r="DJ91" i="1" s="1"/>
  <c r="CP91" i="1" l="1"/>
  <c r="CU91" i="1"/>
  <c r="DD91" i="1"/>
  <c r="CW91" i="1" l="1"/>
  <c r="CZ91" i="1"/>
  <c r="DA91" i="1" l="1"/>
  <c r="CN92" i="1"/>
  <c r="CX103" i="1"/>
  <c r="CY103" i="1" s="1"/>
  <c r="DB91" i="1"/>
  <c r="CV92" i="1" l="1"/>
  <c r="DC91" i="1"/>
  <c r="CP92" i="1"/>
  <c r="DD92" i="1"/>
  <c r="DF92" i="1" s="1"/>
  <c r="CU92" i="1"/>
  <c r="DE91" i="1"/>
  <c r="CL92" i="1" s="1"/>
  <c r="DJ92" i="1" s="1"/>
  <c r="CW92" i="1" l="1"/>
  <c r="CX104" i="1" l="1"/>
  <c r="CY104" i="1" s="1"/>
  <c r="DB92" i="1"/>
  <c r="CZ92" i="1"/>
  <c r="CV93" i="1" l="1"/>
  <c r="DC92" i="1"/>
  <c r="CN93" i="1"/>
  <c r="DE92" i="1"/>
  <c r="CL93" i="1" s="1"/>
  <c r="DJ93" i="1" s="1"/>
  <c r="DA92" i="1"/>
  <c r="CP93" i="1" l="1"/>
  <c r="DD93" i="1"/>
  <c r="CU93" i="1"/>
  <c r="CW93" i="1" l="1"/>
  <c r="CZ93" i="1"/>
  <c r="CN94" i="1" l="1"/>
  <c r="DA93" i="1"/>
  <c r="CX105" i="1"/>
  <c r="CY105" i="1" s="1"/>
  <c r="DB93" i="1"/>
  <c r="CV94" i="1" l="1"/>
  <c r="DC93" i="1"/>
  <c r="DE93" i="1"/>
  <c r="CL94" i="1" s="1"/>
  <c r="DJ94" i="1" s="1"/>
  <c r="CP94" i="1"/>
  <c r="DD94" i="1"/>
  <c r="DF94" i="1" s="1"/>
  <c r="CU94" i="1"/>
  <c r="CW94" i="1" l="1"/>
  <c r="CZ94" i="1"/>
  <c r="DH94" i="1" l="1"/>
  <c r="CN95" i="1"/>
  <c r="DA94" i="1"/>
  <c r="CX106" i="1"/>
  <c r="CY106" i="1" s="1"/>
  <c r="DB94" i="1"/>
  <c r="CS98" i="1" l="1"/>
  <c r="CT99" i="1"/>
  <c r="CV95" i="1"/>
  <c r="DC94" i="1"/>
  <c r="DD95" i="1"/>
  <c r="CP95" i="1"/>
  <c r="DE94" i="1"/>
  <c r="CL95" i="1" s="1"/>
  <c r="DJ95" i="1" s="1"/>
  <c r="CU95" i="1" l="1"/>
  <c r="CW95" i="1" s="1"/>
  <c r="CX107" i="1" l="1"/>
  <c r="CY107" i="1" s="1"/>
  <c r="DB95" i="1"/>
  <c r="CZ95" i="1"/>
  <c r="DE95" i="1" l="1"/>
  <c r="CL96" i="1" s="1"/>
  <c r="CN96" i="1"/>
  <c r="CQ96" i="1" s="1"/>
  <c r="DG96" i="1" s="1"/>
  <c r="DA95" i="1"/>
  <c r="DC95" i="1"/>
  <c r="CV96" i="1"/>
  <c r="CP96" i="1" l="1"/>
  <c r="DD96" i="1"/>
  <c r="DF96" i="1" s="1"/>
  <c r="CU96" i="1"/>
  <c r="DK96" i="1"/>
  <c r="DJ96" i="1"/>
  <c r="CW96" i="1" l="1"/>
  <c r="CX108" i="1" l="1"/>
  <c r="CY108" i="1" s="1"/>
  <c r="DB96" i="1"/>
  <c r="CZ96" i="1"/>
  <c r="CN97" i="1" l="1"/>
  <c r="CR97" i="1" s="1"/>
  <c r="DA96" i="1"/>
  <c r="DE96" i="1"/>
  <c r="CL97" i="1" s="1"/>
  <c r="CV97" i="1"/>
  <c r="DC96" i="1"/>
  <c r="DJ97" i="1" l="1"/>
  <c r="BS43" i="1"/>
  <c r="DD97" i="1"/>
  <c r="CP97" i="1"/>
  <c r="CU97" i="1" l="1"/>
  <c r="DI97" i="1"/>
  <c r="CW97" i="1"/>
  <c r="CZ97" i="1" s="1"/>
  <c r="DA97" i="1" l="1"/>
  <c r="CN98" i="1"/>
  <c r="CX109" i="1"/>
  <c r="CY109" i="1" s="1"/>
  <c r="DB97" i="1"/>
  <c r="CV98" i="1" l="1"/>
  <c r="DC97" i="1"/>
  <c r="DE97" i="1"/>
  <c r="CL98" i="1" s="1"/>
  <c r="DJ98" i="1" s="1"/>
  <c r="DD98" i="1"/>
  <c r="DF98" i="1" s="1"/>
  <c r="CP98" i="1"/>
  <c r="CT102" i="1"/>
  <c r="CS101" i="1"/>
  <c r="CU98" i="1" l="1"/>
  <c r="CW98" i="1" l="1"/>
  <c r="CZ98" i="1" s="1"/>
  <c r="CN99" i="1" l="1"/>
  <c r="DA98" i="1"/>
  <c r="CX110" i="1"/>
  <c r="CY110" i="1" s="1"/>
  <c r="DB98" i="1"/>
  <c r="DC98" i="1" l="1"/>
  <c r="CV99" i="1"/>
  <c r="DD99" i="1"/>
  <c r="CP99" i="1"/>
  <c r="CQ99" i="1"/>
  <c r="DG99" i="1" s="1"/>
  <c r="DE98" i="1"/>
  <c r="CL99" i="1" s="1"/>
  <c r="DJ99" i="1" s="1"/>
  <c r="CU99" i="1" l="1"/>
  <c r="CW99" i="1" s="1"/>
  <c r="CX111" i="1" s="1"/>
  <c r="CY111" i="1" s="1"/>
  <c r="DB99" i="1" l="1"/>
  <c r="CZ99" i="1"/>
  <c r="DA99" i="1" l="1"/>
  <c r="DE99" i="1"/>
  <c r="CL100" i="1" s="1"/>
  <c r="DJ100" i="1" s="1"/>
  <c r="CN100" i="1"/>
  <c r="DC99" i="1"/>
  <c r="CV100" i="1"/>
  <c r="CP100" i="1" l="1"/>
  <c r="DD100" i="1"/>
  <c r="DF100" i="1" s="1"/>
  <c r="CR100" i="1"/>
  <c r="DI100" i="1" l="1"/>
  <c r="CU100" i="1"/>
  <c r="CW100" i="1" l="1"/>
  <c r="CZ100" i="1" s="1"/>
  <c r="CN101" i="1" l="1"/>
  <c r="DA100" i="1"/>
  <c r="CX112" i="1"/>
  <c r="CY112" i="1" s="1"/>
  <c r="DB100" i="1"/>
  <c r="DC100" i="1" l="1"/>
  <c r="CV101" i="1"/>
  <c r="DE100" i="1"/>
  <c r="CL101" i="1" s="1"/>
  <c r="DJ101" i="1" s="1"/>
  <c r="CP101" i="1"/>
  <c r="CU101" i="1"/>
  <c r="DD101" i="1"/>
  <c r="CW101" i="1" l="1"/>
  <c r="CX113" i="1" l="1"/>
  <c r="CY113" i="1" s="1"/>
  <c r="DB101" i="1"/>
  <c r="CZ101" i="1"/>
  <c r="CV102" i="1" l="1"/>
  <c r="DC101" i="1"/>
  <c r="CN102" i="1"/>
  <c r="DA101" i="1"/>
  <c r="DE101" i="1"/>
  <c r="CL102" i="1" s="1"/>
  <c r="DJ102" i="1" l="1"/>
  <c r="DK102" i="1"/>
  <c r="DD102" i="1"/>
  <c r="DF102" i="1" s="1"/>
  <c r="CP102" i="1"/>
  <c r="CU102" i="1" s="1"/>
  <c r="CW102" i="1" l="1"/>
  <c r="CZ102" i="1" s="1"/>
  <c r="CN103" i="1" l="1"/>
  <c r="DA102" i="1"/>
  <c r="CX114" i="1"/>
  <c r="CY114" i="1" s="1"/>
  <c r="DB102" i="1"/>
  <c r="CV103" i="1" l="1"/>
  <c r="DC102" i="1"/>
  <c r="DE102" i="1"/>
  <c r="CL103" i="1" s="1"/>
  <c r="DJ103" i="1" s="1"/>
  <c r="DD103" i="1"/>
  <c r="CP103" i="1"/>
  <c r="CU103" i="1" s="1"/>
  <c r="CW103" i="1" l="1"/>
  <c r="CX115" i="1" l="1"/>
  <c r="CY115" i="1" s="1"/>
  <c r="DB103" i="1"/>
  <c r="CZ103" i="1"/>
  <c r="DA103" i="1" l="1"/>
  <c r="CN104" i="1"/>
  <c r="DE103" i="1"/>
  <c r="CL104" i="1" s="1"/>
  <c r="DJ104" i="1" s="1"/>
  <c r="CV104" i="1"/>
  <c r="DC103" i="1"/>
  <c r="CP104" i="1" l="1"/>
  <c r="DD104" i="1"/>
  <c r="DF104" i="1" s="1"/>
  <c r="CU104" i="1"/>
  <c r="CW104" i="1" l="1"/>
  <c r="CZ104" i="1" s="1"/>
  <c r="DA104" i="1" l="1"/>
  <c r="CN105" i="1"/>
  <c r="DH104" i="1"/>
  <c r="CX116" i="1"/>
  <c r="CY116" i="1" s="1"/>
  <c r="DB104" i="1"/>
  <c r="CT109" i="1" l="1"/>
  <c r="CS108" i="1"/>
  <c r="DC104" i="1"/>
  <c r="CV105" i="1"/>
  <c r="DE104" i="1"/>
  <c r="CL105" i="1" s="1"/>
  <c r="DJ105" i="1" s="1"/>
  <c r="CP105" i="1"/>
  <c r="DD105" i="1"/>
  <c r="CU105" i="1" l="1"/>
  <c r="CW105" i="1" s="1"/>
  <c r="CX117" i="1" l="1"/>
  <c r="CY117" i="1" s="1"/>
  <c r="DB105" i="1"/>
  <c r="CZ105" i="1"/>
  <c r="CN106" i="1" l="1"/>
  <c r="CQ106" i="1" s="1"/>
  <c r="DG106" i="1" s="1"/>
  <c r="DA105" i="1"/>
  <c r="DE105" i="1"/>
  <c r="CL106" i="1" s="1"/>
  <c r="DJ106" i="1" s="1"/>
  <c r="DC105" i="1"/>
  <c r="CV106" i="1"/>
  <c r="DD106" i="1" l="1"/>
  <c r="DF106" i="1" s="1"/>
  <c r="CP106" i="1"/>
  <c r="CU106" i="1" l="1"/>
  <c r="CW106" i="1" s="1"/>
  <c r="CX118" i="1" l="1"/>
  <c r="CY118" i="1" s="1"/>
  <c r="DB106" i="1"/>
  <c r="CZ106" i="1"/>
  <c r="DA106" i="1" l="1"/>
  <c r="CN107" i="1"/>
  <c r="CR107" i="1" s="1"/>
  <c r="DE106" i="1"/>
  <c r="CL107" i="1" s="1"/>
  <c r="DJ107" i="1" s="1"/>
  <c r="DC106" i="1"/>
  <c r="CV107" i="1"/>
  <c r="CP107" i="1" l="1"/>
  <c r="DI107" i="1" s="1"/>
  <c r="CU107" i="1"/>
  <c r="DD107" i="1"/>
  <c r="CW107" i="1" l="1"/>
  <c r="DB107" i="1" l="1"/>
  <c r="CX119" i="1"/>
  <c r="CY119" i="1" s="1"/>
  <c r="CV108" i="1"/>
  <c r="DC107" i="1"/>
  <c r="CZ107" i="1"/>
  <c r="DA107" i="1" l="1"/>
  <c r="DE107" i="1"/>
  <c r="CL108" i="1" s="1"/>
  <c r="CN108" i="1"/>
  <c r="DD108" i="1" l="1"/>
  <c r="DF108" i="1" s="1"/>
  <c r="CP108" i="1"/>
  <c r="CU108" i="1" s="1"/>
  <c r="DK108" i="1"/>
  <c r="DJ108" i="1"/>
  <c r="CW108" i="1" l="1"/>
  <c r="CX120" i="1" s="1"/>
  <c r="CY120" i="1" s="1"/>
  <c r="CZ108" i="1"/>
  <c r="CN109" i="1" l="1"/>
  <c r="DA108" i="1"/>
  <c r="DB108" i="1"/>
  <c r="DC108" i="1" l="1"/>
  <c r="CV109" i="1"/>
  <c r="CP109" i="1"/>
  <c r="CU109" i="1" s="1"/>
  <c r="DD109" i="1"/>
  <c r="DE108" i="1"/>
  <c r="CL109" i="1" s="1"/>
  <c r="DJ109" i="1" s="1"/>
  <c r="CW109" i="1" l="1"/>
  <c r="CX121" i="1" s="1"/>
  <c r="CY121" i="1" s="1"/>
  <c r="DB109" i="1" l="1"/>
  <c r="CZ109" i="1"/>
  <c r="CN110" i="1" l="1"/>
  <c r="DA109" i="1"/>
  <c r="DE109" i="1"/>
  <c r="CL110" i="1" s="1"/>
  <c r="DJ110" i="1" s="1"/>
  <c r="DC109" i="1"/>
  <c r="CV110" i="1"/>
  <c r="DD110" i="1" l="1"/>
  <c r="DF110" i="1" s="1"/>
  <c r="CP110" i="1"/>
  <c r="CU110" i="1" s="1"/>
  <c r="CW110" i="1" l="1"/>
  <c r="CZ110" i="1" l="1"/>
  <c r="CX122" i="1"/>
  <c r="CY122" i="1" s="1"/>
  <c r="DA110" i="1"/>
  <c r="CN111" i="1"/>
  <c r="DB110" i="1"/>
  <c r="CV111" i="1" l="1"/>
  <c r="DC110" i="1"/>
  <c r="DE110" i="1"/>
  <c r="CL111" i="1" s="1"/>
  <c r="DJ111" i="1" s="1"/>
  <c r="CP111" i="1"/>
  <c r="CU111" i="1" s="1"/>
  <c r="DD111" i="1"/>
  <c r="CW111" i="1" l="1"/>
  <c r="CX123" i="1" s="1"/>
  <c r="CY123" i="1" s="1"/>
  <c r="CZ111" i="1" l="1"/>
  <c r="DB111" i="1"/>
  <c r="CV112" i="1" l="1"/>
  <c r="DC111" i="1"/>
  <c r="CN112" i="1"/>
  <c r="DE111" i="1"/>
  <c r="CL112" i="1" s="1"/>
  <c r="DJ112" i="1" s="1"/>
  <c r="DA111" i="1"/>
  <c r="CP112" i="1" l="1"/>
  <c r="DD112" i="1"/>
  <c r="DF112" i="1" s="1"/>
  <c r="CT116" i="1"/>
  <c r="CU112" i="1"/>
  <c r="CS115" i="1"/>
  <c r="CW112" i="1" l="1"/>
  <c r="CX124" i="1" s="1"/>
  <c r="CY124" i="1" s="1"/>
  <c r="CZ112" i="1"/>
  <c r="CN113" i="1" l="1"/>
  <c r="DA112" i="1"/>
  <c r="DB112" i="1"/>
  <c r="CV113" i="1" l="1"/>
  <c r="DC112" i="1"/>
  <c r="DE112" i="1"/>
  <c r="CL113" i="1" s="1"/>
  <c r="DJ113" i="1" s="1"/>
  <c r="DD113" i="1"/>
  <c r="CP113" i="1"/>
  <c r="CQ113" i="1"/>
  <c r="DG113" i="1" s="1"/>
  <c r="CU113" i="1" l="1"/>
  <c r="CW113" i="1" l="1"/>
  <c r="CX125" i="1" s="1"/>
  <c r="CY125" i="1" s="1"/>
  <c r="CZ113" i="1"/>
  <c r="CN114" i="1" l="1"/>
  <c r="DA113" i="1"/>
  <c r="DB113" i="1"/>
  <c r="CV114" i="1" l="1"/>
  <c r="DC113" i="1"/>
  <c r="DD114" i="1"/>
  <c r="DF114" i="1" s="1"/>
  <c r="CP114" i="1"/>
  <c r="CR114" i="1"/>
  <c r="DE113" i="1"/>
  <c r="CL114" i="1" s="1"/>
  <c r="DI114" i="1" l="1"/>
  <c r="DK114" i="1"/>
  <c r="DJ114" i="1"/>
  <c r="CU114" i="1"/>
  <c r="CW114" i="1" l="1"/>
  <c r="CX126" i="1" s="1"/>
  <c r="CY126" i="1" s="1"/>
  <c r="CZ114" i="1"/>
  <c r="CN115" i="1" l="1"/>
  <c r="DA114" i="1"/>
  <c r="DB114" i="1"/>
  <c r="CT119" i="1" l="1"/>
  <c r="CS118" i="1"/>
  <c r="DC114" i="1"/>
  <c r="CV115" i="1"/>
  <c r="CP115" i="1"/>
  <c r="DD115" i="1"/>
  <c r="DE114" i="1"/>
  <c r="CL115" i="1" s="1"/>
  <c r="DJ115" i="1" s="1"/>
  <c r="CU115" i="1" l="1"/>
  <c r="CW115" i="1"/>
  <c r="CZ115" i="1" s="1"/>
  <c r="DB115" i="1"/>
  <c r="DA115" i="1" l="1"/>
  <c r="DH115" i="1"/>
  <c r="DE115" i="1"/>
  <c r="CL116" i="1" s="1"/>
  <c r="DJ116" i="1" s="1"/>
  <c r="CN116" i="1"/>
  <c r="CQ116" i="1" s="1"/>
  <c r="DG116" i="1" s="1"/>
  <c r="DC115" i="1"/>
  <c r="CV116" i="1"/>
  <c r="CP116" i="1" l="1"/>
  <c r="CU116" i="1"/>
  <c r="DD116" i="1"/>
  <c r="DF116" i="1" s="1"/>
  <c r="CW116" i="1" l="1"/>
  <c r="DB116" i="1" s="1"/>
  <c r="CV117" i="1" l="1"/>
  <c r="DC116" i="1"/>
  <c r="CZ116" i="1"/>
  <c r="CN117" i="1" l="1"/>
  <c r="CR117" i="1" s="1"/>
  <c r="DH116" i="1"/>
  <c r="DE116" i="1"/>
  <c r="CL117" i="1" s="1"/>
  <c r="DJ117" i="1" s="1"/>
  <c r="DA116" i="1"/>
  <c r="DD117" i="1" l="1"/>
  <c r="CP117" i="1"/>
  <c r="CU117" i="1" l="1"/>
  <c r="DI117" i="1"/>
  <c r="CW117" i="1"/>
  <c r="DB117" i="1" s="1"/>
  <c r="CV118" i="1" l="1"/>
  <c r="DC117" i="1"/>
  <c r="CZ117" i="1"/>
  <c r="CN118" i="1" l="1"/>
  <c r="DA117" i="1"/>
  <c r="DE117" i="1"/>
  <c r="CL118" i="1" s="1"/>
  <c r="DJ118" i="1" s="1"/>
  <c r="DD118" i="1" l="1"/>
  <c r="DF118" i="1" s="1"/>
  <c r="CP118" i="1"/>
  <c r="CU118" i="1" s="1"/>
  <c r="CW118" i="1" l="1"/>
  <c r="DB118" i="1" s="1"/>
  <c r="CZ118" i="1"/>
  <c r="DE118" i="1" l="1"/>
  <c r="CL119" i="1" s="1"/>
  <c r="DJ119" i="1" s="1"/>
  <c r="CN119" i="1"/>
  <c r="DA118" i="1"/>
  <c r="CV119" i="1"/>
  <c r="DC118" i="1"/>
  <c r="DD119" i="1" l="1"/>
  <c r="CP119" i="1"/>
  <c r="CU119" i="1" s="1"/>
  <c r="CW119" i="1" l="1"/>
  <c r="DB119" i="1" s="1"/>
  <c r="CZ119" i="1"/>
  <c r="DE119" i="1" l="1"/>
  <c r="CL120" i="1" s="1"/>
  <c r="CN120" i="1"/>
  <c r="DA119" i="1"/>
  <c r="CV120" i="1"/>
  <c r="DC119" i="1"/>
  <c r="DD120" i="1" l="1"/>
  <c r="DF120" i="1" s="1"/>
  <c r="CP120" i="1"/>
  <c r="CU120" i="1" s="1"/>
  <c r="DK120" i="1"/>
  <c r="DJ120" i="1"/>
  <c r="CW120" i="1" l="1"/>
  <c r="DB120" i="1" s="1"/>
  <c r="CZ120" i="1" l="1"/>
  <c r="CV121" i="1"/>
  <c r="DC120" i="1"/>
  <c r="CN121" i="1" l="1"/>
  <c r="DE120" i="1"/>
  <c r="CL121" i="1" s="1"/>
  <c r="DJ121" i="1" s="1"/>
  <c r="DA120" i="1"/>
  <c r="DD121" i="1" l="1"/>
  <c r="CP121" i="1"/>
  <c r="CU121" i="1" s="1"/>
  <c r="CW121" i="1" l="1"/>
  <c r="DB121" i="1" s="1"/>
  <c r="CV122" i="1" l="1"/>
  <c r="DC121" i="1"/>
  <c r="CZ121" i="1"/>
  <c r="CN122" i="1" l="1"/>
  <c r="DA121" i="1"/>
  <c r="DE121" i="1"/>
  <c r="CL122" i="1" s="1"/>
  <c r="DJ122" i="1" s="1"/>
  <c r="DD122" i="1" l="1"/>
  <c r="DF122" i="1" s="1"/>
  <c r="CP122" i="1"/>
  <c r="CU122" i="1" s="1"/>
  <c r="CW122" i="1" l="1"/>
  <c r="CZ122" i="1" l="1"/>
  <c r="DB122" i="1"/>
  <c r="DE122" i="1" s="1"/>
  <c r="CL123" i="1" s="1"/>
  <c r="DJ123" i="1" s="1"/>
  <c r="CN123" i="1"/>
  <c r="DA122" i="1"/>
  <c r="CV123" i="1" l="1"/>
  <c r="DC122" i="1"/>
  <c r="DD123" i="1"/>
  <c r="CP123" i="1"/>
  <c r="CU123" i="1" s="1"/>
  <c r="CW123" i="1" l="1"/>
  <c r="CZ123" i="1" l="1"/>
  <c r="DB123" i="1"/>
  <c r="DE123" i="1" s="1"/>
  <c r="CL124" i="1" s="1"/>
  <c r="DJ124" i="1" s="1"/>
  <c r="DA123" i="1"/>
  <c r="CN124" i="1"/>
  <c r="DC123" i="1" l="1"/>
  <c r="CV124" i="1"/>
  <c r="CP124" i="1"/>
  <c r="DD124" i="1"/>
  <c r="DF124" i="1" s="1"/>
  <c r="CU124" i="1"/>
  <c r="CW124" i="1" l="1"/>
  <c r="CZ124" i="1" l="1"/>
  <c r="DB124" i="1"/>
  <c r="DE124" i="1" s="1"/>
  <c r="CL125" i="1" s="1"/>
  <c r="DJ125" i="1" s="1"/>
  <c r="DA124" i="1"/>
  <c r="CN125" i="1"/>
  <c r="DC124" i="1" l="1"/>
  <c r="CV125" i="1"/>
  <c r="CP125" i="1"/>
  <c r="DD125" i="1"/>
  <c r="CU125" i="1"/>
  <c r="CW125" i="1" l="1"/>
  <c r="CZ125" i="1" s="1"/>
  <c r="DB125" i="1" l="1"/>
  <c r="DA125" i="1"/>
  <c r="DE125" i="1"/>
  <c r="CL126" i="1" s="1"/>
  <c r="CN126" i="1"/>
  <c r="CQ126" i="1" s="1"/>
  <c r="DG126" i="1" s="1"/>
  <c r="CV126" i="1" l="1"/>
  <c r="DC125" i="1"/>
  <c r="DK126" i="1"/>
  <c r="DJ126" i="1"/>
  <c r="CP126" i="1"/>
  <c r="CU126" i="1" s="1"/>
  <c r="DD126" i="1"/>
  <c r="DF126" i="1" s="1"/>
  <c r="CW126" i="1" l="1"/>
  <c r="CZ126" i="1" s="1"/>
  <c r="DB126" i="1" l="1"/>
  <c r="DC126" i="1" s="1"/>
  <c r="DA126" i="1"/>
  <c r="DH126" i="1"/>
  <c r="DE126" i="1"/>
</calcChain>
</file>

<file path=xl/sharedStrings.xml><?xml version="1.0" encoding="utf-8"?>
<sst xmlns="http://schemas.openxmlformats.org/spreadsheetml/2006/main" count="200" uniqueCount="70">
  <si>
    <t>This model is a work in progress.  Please let me know if you spot any errors (randy@randyoliver.com)</t>
  </si>
  <si>
    <t>Updated :</t>
  </si>
  <si>
    <t>Summer or fall</t>
  </si>
  <si>
    <t>s</t>
  </si>
  <si>
    <t>Enter "S" for summer continual broodrearing, or "F" for fall diminishing brood (no egg-laying  last 4 weeks, no sealed brood the last week).</t>
  </si>
  <si>
    <t>Starting mite pop</t>
  </si>
  <si>
    <t>Enter starting total mite population in the hive (suggest 3000).</t>
  </si>
  <si>
    <t xml:space="preserve">Enter the estimated overall % kill of the "phoretic" mites from each OAV treatment. </t>
  </si>
  <si>
    <t>Treatment intervals</t>
  </si>
  <si>
    <t>Leave blank for no treatments;  Enter  4, 7, 10, 14, or "C" (for custom) number of days between OAV applications.</t>
  </si>
  <si>
    <t/>
  </si>
  <si>
    <t>Summer</t>
  </si>
  <si>
    <t xml:space="preserve"> Fall windown</t>
  </si>
  <si>
    <t>Day</t>
  </si>
  <si>
    <t>Establishment of 12 days of sealed brood with mites</t>
  </si>
  <si>
    <t>Starting number of mites</t>
  </si>
  <si>
    <t>Calculated days of "phoresy"</t>
  </si>
  <si>
    <t>No.  "phoretic"</t>
  </si>
  <si>
    <t>Post-kill "phoretic" survivors</t>
  </si>
  <si>
    <t>Starting mites  in brood</t>
  </si>
  <si>
    <t>"Phoretic" entering brood</t>
  </si>
  <si>
    <t>Additional mites from repro</t>
  </si>
  <si>
    <t>Remaining  "phoretics"</t>
  </si>
  <si>
    <t>Net change in phoretics</t>
  </si>
  <si>
    <t>Ending mites in brood</t>
  </si>
  <si>
    <t>Net change mites in brood</t>
  </si>
  <si>
    <t>Ending total mite pop</t>
  </si>
  <si>
    <t>48-hr drop count</t>
  </si>
  <si>
    <t>Percent kill of total population</t>
  </si>
  <si>
    <t>Daily r</t>
  </si>
  <si>
    <t xml:space="preserve">Mite pop labels </t>
  </si>
  <si>
    <t xml:space="preserve">4-day </t>
  </si>
  <si>
    <t>5-day</t>
  </si>
  <si>
    <t>7-day</t>
  </si>
  <si>
    <t>10-day</t>
  </si>
  <si>
    <t>14-day</t>
  </si>
  <si>
    <t>OAV appl</t>
  </si>
  <si>
    <t>No. combs 65% covered w brood</t>
  </si>
  <si>
    <t>Combs covered with bees</t>
  </si>
  <si>
    <t>Calc'd days "phoretic"</t>
  </si>
  <si>
    <t>Est. no. of bees per comb</t>
  </si>
  <si>
    <t>Est. no of adult bees</t>
  </si>
  <si>
    <t>Bees to brood</t>
  </si>
  <si>
    <t>Brood status</t>
  </si>
  <si>
    <t>Days or dates</t>
  </si>
  <si>
    <t>Decreasing</t>
  </si>
  <si>
    <t>ASSUMPTIONS</t>
  </si>
  <si>
    <t>Assumed number of bees in the colony with a high brood:adult bee ratio due to natural bloom or feeding</t>
  </si>
  <si>
    <t>Assumed average mite daughters per cycle</t>
  </si>
  <si>
    <t>VALIDATION CHECK</t>
  </si>
  <si>
    <r>
      <rPr>
        <b/>
        <i/>
        <sz val="10"/>
        <color rgb="FF7030A0"/>
        <rFont val="Arial"/>
        <family val="2"/>
      </rPr>
      <t>In absence of  treatments</t>
    </r>
    <r>
      <rPr>
        <sz val="10"/>
        <color rgb="FF7030A0"/>
        <rFont val="Arial"/>
        <family val="2"/>
      </rPr>
      <t>, the calculated daily bee r-value ( 0.021 -0.023 for Summer; ~0.19 for Fall)</t>
    </r>
  </si>
  <si>
    <t>Growth factors</t>
  </si>
  <si>
    <r>
      <t xml:space="preserve">Enter "1" for custom OAV applications </t>
    </r>
    <r>
      <rPr>
        <b/>
        <sz val="10"/>
        <rFont val="Wingdings 3"/>
        <family val="1"/>
        <charset val="2"/>
      </rPr>
      <t>i</t>
    </r>
  </si>
  <si>
    <t>Fall</t>
  </si>
  <si>
    <t>No eggs</t>
  </si>
  <si>
    <t>Broodless</t>
  </si>
  <si>
    <t>INPUT PARAMETERS</t>
  </si>
  <si>
    <r>
      <rPr>
        <b/>
        <sz val="9"/>
        <color rgb="FFFF0000"/>
        <rFont val="Wingdings"/>
        <charset val="2"/>
      </rPr>
      <t>ç</t>
    </r>
    <r>
      <rPr>
        <b/>
        <sz val="9"/>
        <color rgb="FFFF0000"/>
        <rFont val="Arial"/>
        <family val="2"/>
      </rPr>
      <t>Insert "1" for an  OAV</t>
    </r>
  </si>
  <si>
    <t>Foundresses exiting brood</t>
  </si>
  <si>
    <t xml:space="preserve">Expected cumulative efficacy </t>
  </si>
  <si>
    <t>% of expected total kill of "phoretics"</t>
  </si>
  <si>
    <t>Expected daily mite mortality</t>
  </si>
  <si>
    <t>Expected 24-hr mite drop count</t>
  </si>
  <si>
    <t>Expected mite wash count</t>
  </si>
  <si>
    <t>Mites on adult bees</t>
  </si>
  <si>
    <t>if(BR$5=f,,)</t>
  </si>
  <si>
    <t>Expected efficacy</t>
  </si>
  <si>
    <t>Cells of brood (x 4500)</t>
  </si>
  <si>
    <t>Est. no of adult bees (x1800)</t>
  </si>
  <si>
    <t>Cells of brood (x4500)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</si>
</sst>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day&quot;"/>
    <numFmt numFmtId="165" formatCode="0.0"/>
    <numFmt numFmtId="166" formatCode="0.000"/>
    <numFmt numFmtId="167" formatCode="#,##0.0"/>
    <numFmt numFmtId="168" formatCode="0;\-0;;@"/>
    <numFmt numFmtId="169" formatCode="[$-409]d\-mmm;@"/>
  </numFmts>
  <fonts count="16">
    <font>
      <sz val="10"/>
      <name val="Arial"/>
      <family val="2"/>
    </font>
    <font>
      <sz val="10"/>
      <color rgb="FF7030A0"/>
      <name val="Arial"/>
      <family val="2"/>
    </font>
    <font>
      <b/>
      <sz val="11"/>
      <color rgb="FFFF0000"/>
      <name val="Calibri"/>
      <family val="2"/>
    </font>
    <font>
      <b/>
      <sz val="10"/>
      <name val="Arial"/>
      <family val="2"/>
    </font>
    <font>
      <b/>
      <sz val="10"/>
      <color rgb="FFFF0000"/>
      <name val="Arial"/>
      <family val="2"/>
    </font>
    <font>
      <sz val="10"/>
      <color rgb="FF0070C0"/>
      <name val="Arial"/>
      <family val="2"/>
    </font>
    <font>
      <b/>
      <sz val="10"/>
      <color rgb="FF0070C0"/>
      <name val="Arial"/>
      <family val="2"/>
    </font>
    <font>
      <b/>
      <sz val="10"/>
      <color theme="1"/>
      <name val="Arial"/>
      <family val="2"/>
    </font>
    <font>
      <sz val="10"/>
      <color theme="1"/>
      <name val="Arial"/>
      <family val="2"/>
    </font>
    <font>
      <b/>
      <sz val="10"/>
      <color rgb="FF7030A0"/>
      <name val="Arial"/>
      <family val="2"/>
    </font>
    <font>
      <b/>
      <i/>
      <sz val="10"/>
      <color rgb="FF7030A0"/>
      <name val="Arial"/>
      <family val="2"/>
    </font>
    <font>
      <b/>
      <sz val="10"/>
      <name val="Wingdings 3"/>
      <family val="1"/>
      <charset val="2"/>
    </font>
    <font>
      <b/>
      <sz val="11"/>
      <name val="Arial"/>
      <family val="2"/>
    </font>
    <font>
      <b/>
      <sz val="9"/>
      <color rgb="FFFF0000"/>
      <name val="Arial"/>
      <family val="2"/>
      <charset val="2"/>
    </font>
    <font>
      <b/>
      <sz val="9"/>
      <color rgb="FFFF0000"/>
      <name val="Wingdings"/>
      <charset val="2"/>
    </font>
    <font>
      <b/>
      <sz val="9"/>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theme="5" tint="0.59999389629810485"/>
        <bgColor indexed="64"/>
      </patternFill>
    </fill>
    <fill>
      <patternFill patternType="solid">
        <fgColor rgb="FFB8FA26"/>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indexed="64"/>
      </right>
      <top style="thin">
        <color rgb="FFFF0000"/>
      </top>
      <bottom/>
      <diagonal/>
    </border>
    <border>
      <left style="thin">
        <color indexed="64"/>
      </left>
      <right/>
      <top style="thin">
        <color rgb="FFFF0000"/>
      </top>
      <bottom/>
      <diagonal/>
    </border>
  </borders>
  <cellStyleXfs count="1">
    <xf numFmtId="0" fontId="0" fillId="0" borderId="0"/>
  </cellStyleXfs>
  <cellXfs count="127">
    <xf numFmtId="0" fontId="0" fillId="0" borderId="0" xfId="0"/>
    <xf numFmtId="0" fontId="0" fillId="0" borderId="0" xfId="0" applyAlignment="1">
      <alignment horizontal="center"/>
    </xf>
    <xf numFmtId="0" fontId="3" fillId="0" borderId="0" xfId="0" applyFont="1"/>
    <xf numFmtId="0" fontId="4" fillId="0" borderId="0" xfId="0" applyFont="1" applyAlignment="1">
      <alignment horizontal="left"/>
    </xf>
    <xf numFmtId="0" fontId="0" fillId="0" borderId="1" xfId="0" applyBorder="1" applyAlignment="1">
      <alignment horizontal="right"/>
    </xf>
    <xf numFmtId="0" fontId="3" fillId="2" borderId="1" xfId="0" applyFont="1" applyFill="1" applyBorder="1" applyAlignment="1" applyProtection="1">
      <alignment horizontal="center"/>
      <protection locked="0"/>
    </xf>
    <xf numFmtId="9" fontId="3" fillId="2" borderId="1" xfId="0" applyNumberFormat="1" applyFont="1" applyFill="1" applyBorder="1" applyAlignment="1" applyProtection="1">
      <alignment horizontal="center"/>
      <protection locked="0"/>
    </xf>
    <xf numFmtId="164" fontId="3" fillId="2" borderId="1" xfId="0" applyNumberFormat="1" applyFont="1" applyFill="1" applyBorder="1" applyAlignment="1" applyProtection="1">
      <alignment horizontal="center" wrapText="1"/>
      <protection locked="0"/>
    </xf>
    <xf numFmtId="1" fontId="0" fillId="0" borderId="0" xfId="0" applyNumberFormat="1" applyAlignment="1">
      <alignment horizontal="center"/>
    </xf>
    <xf numFmtId="16" fontId="0" fillId="0" borderId="0" xfId="0" applyNumberFormat="1"/>
    <xf numFmtId="0" fontId="5" fillId="0" borderId="0" xfId="0" applyFont="1" applyAlignment="1">
      <alignment horizontal="left"/>
    </xf>
    <xf numFmtId="0" fontId="6" fillId="0" borderId="0" xfId="0" applyFont="1" applyAlignment="1">
      <alignment horizontal="center"/>
    </xf>
    <xf numFmtId="9" fontId="6" fillId="0" borderId="0" xfId="0" applyNumberFormat="1" applyFont="1" applyAlignment="1">
      <alignment horizontal="center"/>
    </xf>
    <xf numFmtId="9" fontId="3" fillId="0" borderId="0" xfId="0" applyNumberFormat="1" applyFont="1" applyAlignment="1">
      <alignment horizontal="center"/>
    </xf>
    <xf numFmtId="9" fontId="0" fillId="0" borderId="0" xfId="0" applyNumberFormat="1"/>
    <xf numFmtId="9" fontId="0" fillId="0" borderId="0" xfId="0" applyNumberFormat="1" applyAlignment="1">
      <alignment horizontal="center"/>
    </xf>
    <xf numFmtId="0" fontId="3" fillId="9" borderId="1" xfId="0" applyFont="1" applyFill="1" applyBorder="1" applyAlignment="1">
      <alignment horizontal="center"/>
    </xf>
    <xf numFmtId="0" fontId="0" fillId="7" borderId="1" xfId="0" applyFill="1" applyBorder="1" applyAlignment="1">
      <alignment horizontal="right"/>
    </xf>
    <xf numFmtId="0" fontId="0" fillId="7" borderId="1" xfId="0" applyFill="1" applyBorder="1" applyAlignment="1">
      <alignment horizontal="center"/>
    </xf>
    <xf numFmtId="16" fontId="0" fillId="0" borderId="1" xfId="0" applyNumberFormat="1" applyBorder="1"/>
    <xf numFmtId="168" fontId="0" fillId="0" borderId="0" xfId="0" applyNumberFormat="1"/>
    <xf numFmtId="1" fontId="3" fillId="2" borderId="1" xfId="0" applyNumberFormat="1"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3" fillId="0" borderId="0" xfId="0" applyFont="1" applyProtection="1">
      <protection locked="0"/>
    </xf>
    <xf numFmtId="1" fontId="0" fillId="0" borderId="0" xfId="0" applyNumberFormat="1" applyAlignment="1" applyProtection="1">
      <alignment horizontal="center"/>
      <protection locked="0"/>
    </xf>
    <xf numFmtId="9" fontId="3" fillId="0" borderId="0" xfId="0" applyNumberFormat="1" applyFont="1" applyAlignment="1" applyProtection="1">
      <alignment horizontal="center"/>
      <protection locked="0"/>
    </xf>
    <xf numFmtId="9" fontId="0" fillId="0" borderId="0" xfId="0" applyNumberFormat="1" applyProtection="1">
      <protection locked="0"/>
    </xf>
    <xf numFmtId="0" fontId="3" fillId="5" borderId="5" xfId="0" applyFont="1" applyFill="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6" borderId="1" xfId="0" applyFont="1" applyFill="1" applyBorder="1" applyAlignment="1" applyProtection="1">
      <alignment horizontal="center" wrapText="1"/>
      <protection locked="0"/>
    </xf>
    <xf numFmtId="0" fontId="3" fillId="2" borderId="1" xfId="0" applyFont="1" applyFill="1" applyBorder="1" applyAlignment="1" applyProtection="1">
      <alignment horizontal="center" wrapText="1"/>
      <protection locked="0"/>
    </xf>
    <xf numFmtId="0" fontId="3" fillId="7" borderId="1" xfId="0" applyFont="1" applyFill="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0" borderId="7" xfId="0" applyFont="1" applyBorder="1" applyAlignment="1" applyProtection="1">
      <alignment horizontal="center" wrapText="1"/>
      <protection locked="0"/>
    </xf>
    <xf numFmtId="0" fontId="1" fillId="0" borderId="1" xfId="0" applyFont="1" applyBorder="1" applyAlignment="1" applyProtection="1">
      <alignment horizontal="center"/>
      <protection locked="0"/>
    </xf>
    <xf numFmtId="0" fontId="0" fillId="0" borderId="1" xfId="0" applyBorder="1" applyAlignment="1" applyProtection="1">
      <alignment horizontal="center" wrapText="1"/>
      <protection locked="0"/>
    </xf>
    <xf numFmtId="0" fontId="3" fillId="3" borderId="1" xfId="0" applyFont="1" applyFill="1" applyBorder="1" applyAlignment="1" applyProtection="1">
      <alignment horizontal="center" wrapText="1"/>
      <protection locked="0"/>
    </xf>
    <xf numFmtId="0" fontId="3" fillId="4" borderId="1" xfId="0" applyFont="1" applyFill="1" applyBorder="1" applyAlignment="1" applyProtection="1">
      <alignment horizontal="center" wrapText="1"/>
      <protection locked="0"/>
    </xf>
    <xf numFmtId="0" fontId="3" fillId="5" borderId="1" xfId="0" applyFont="1" applyFill="1" applyBorder="1" applyAlignment="1" applyProtection="1">
      <alignment horizontal="center"/>
      <protection locked="0"/>
    </xf>
    <xf numFmtId="1" fontId="4" fillId="0" borderId="1" xfId="0" applyNumberFormat="1" applyFont="1" applyBorder="1" applyAlignment="1" applyProtection="1">
      <alignment horizontal="center"/>
      <protection locked="0"/>
    </xf>
    <xf numFmtId="165" fontId="3" fillId="0" borderId="1" xfId="0" applyNumberFormat="1" applyFont="1" applyBorder="1" applyAlignment="1" applyProtection="1">
      <alignment horizontal="center"/>
      <protection locked="0"/>
    </xf>
    <xf numFmtId="1" fontId="3" fillId="6" borderId="1" xfId="0" applyNumberFormat="1" applyFont="1" applyFill="1" applyBorder="1" applyAlignment="1" applyProtection="1">
      <alignment horizontal="center"/>
      <protection locked="0"/>
    </xf>
    <xf numFmtId="9" fontId="3" fillId="8" borderId="1" xfId="0" applyNumberFormat="1" applyFont="1" applyFill="1" applyBorder="1" applyAlignment="1" applyProtection="1">
      <alignment horizontal="center"/>
      <protection locked="0"/>
    </xf>
    <xf numFmtId="9" fontId="7" fillId="2" borderId="1" xfId="0" applyNumberFormat="1" applyFont="1" applyFill="1" applyBorder="1" applyAlignment="1" applyProtection="1">
      <alignment horizontal="center"/>
      <protection locked="0"/>
    </xf>
    <xf numFmtId="1" fontId="7" fillId="6" borderId="1" xfId="0" applyNumberFormat="1" applyFont="1" applyFill="1" applyBorder="1" applyAlignment="1" applyProtection="1">
      <alignment horizontal="center"/>
      <protection locked="0"/>
    </xf>
    <xf numFmtId="1" fontId="3" fillId="7" borderId="1" xfId="0" applyNumberFormat="1" applyFont="1" applyFill="1" applyBorder="1" applyAlignment="1" applyProtection="1">
      <alignment horizontal="center"/>
      <protection locked="0"/>
    </xf>
    <xf numFmtId="1" fontId="3" fillId="5" borderId="1" xfId="0" applyNumberFormat="1" applyFont="1" applyFill="1" applyBorder="1" applyAlignment="1" applyProtection="1">
      <alignment horizontal="center"/>
      <protection locked="0"/>
    </xf>
    <xf numFmtId="1" fontId="3" fillId="0" borderId="1" xfId="0" applyNumberFormat="1" applyFont="1" applyBorder="1" applyAlignment="1" applyProtection="1">
      <alignment horizontal="center"/>
      <protection locked="0"/>
    </xf>
    <xf numFmtId="1" fontId="6" fillId="9" borderId="1" xfId="0" applyNumberFormat="1" applyFont="1" applyFill="1" applyBorder="1" applyAlignment="1" applyProtection="1">
      <alignment horizontal="center"/>
      <protection locked="0"/>
    </xf>
    <xf numFmtId="1" fontId="6" fillId="9" borderId="7" xfId="0" applyNumberFormat="1" applyFont="1" applyFill="1" applyBorder="1" applyAlignment="1" applyProtection="1">
      <alignment horizontal="center"/>
      <protection locked="0"/>
    </xf>
    <xf numFmtId="1" fontId="6" fillId="0" borderId="7" xfId="0" applyNumberFormat="1" applyFont="1" applyBorder="1" applyAlignment="1" applyProtection="1">
      <alignment horizontal="center"/>
      <protection locked="0"/>
    </xf>
    <xf numFmtId="9" fontId="6" fillId="0" borderId="1" xfId="0" applyNumberFormat="1" applyFont="1" applyBorder="1" applyAlignment="1" applyProtection="1">
      <alignment horizontal="center"/>
      <protection locked="0"/>
    </xf>
    <xf numFmtId="166" fontId="1" fillId="0" borderId="1" xfId="0" applyNumberFormat="1" applyFont="1" applyBorder="1" applyAlignment="1" applyProtection="1">
      <alignment horizontal="center"/>
      <protection locked="0"/>
    </xf>
    <xf numFmtId="0" fontId="3" fillId="0" borderId="1" xfId="0" applyFont="1" applyBorder="1" applyAlignment="1" applyProtection="1">
      <alignment horizontal="center"/>
      <protection locked="0"/>
    </xf>
    <xf numFmtId="9" fontId="3" fillId="5" borderId="1" xfId="0" applyNumberFormat="1" applyFont="1" applyFill="1" applyBorder="1" applyAlignment="1" applyProtection="1">
      <alignment horizontal="center"/>
      <protection locked="0"/>
    </xf>
    <xf numFmtId="1" fontId="3" fillId="3" borderId="1" xfId="0" applyNumberFormat="1" applyFont="1" applyFill="1" applyBorder="1" applyAlignment="1" applyProtection="1">
      <alignment horizontal="center"/>
      <protection locked="0"/>
    </xf>
    <xf numFmtId="3" fontId="3" fillId="3" borderId="1" xfId="0" applyNumberFormat="1" applyFont="1" applyFill="1" applyBorder="1" applyAlignment="1" applyProtection="1">
      <alignment horizontal="center"/>
      <protection locked="0"/>
    </xf>
    <xf numFmtId="165" fontId="3" fillId="3" borderId="1" xfId="0" applyNumberFormat="1" applyFont="1" applyFill="1" applyBorder="1" applyAlignment="1" applyProtection="1">
      <alignment horizontal="center"/>
      <protection locked="0"/>
    </xf>
    <xf numFmtId="165" fontId="3" fillId="4" borderId="1" xfId="0" applyNumberFormat="1" applyFont="1" applyFill="1" applyBorder="1" applyAlignment="1" applyProtection="1">
      <alignment horizontal="center"/>
      <protection locked="0"/>
    </xf>
    <xf numFmtId="3" fontId="3" fillId="4" borderId="1" xfId="0" applyNumberFormat="1" applyFont="1" applyFill="1" applyBorder="1" applyAlignment="1" applyProtection="1">
      <alignment horizontal="center"/>
      <protection locked="0"/>
    </xf>
    <xf numFmtId="167" fontId="3" fillId="4" borderId="1" xfId="0" applyNumberFormat="1" applyFont="1" applyFill="1" applyBorder="1" applyAlignment="1" applyProtection="1">
      <alignment horizontal="center"/>
      <protection locked="0"/>
    </xf>
    <xf numFmtId="167" fontId="0" fillId="4" borderId="1" xfId="0" applyNumberFormat="1" applyFill="1" applyBorder="1" applyAlignment="1" applyProtection="1">
      <alignment horizontal="center"/>
      <protection locked="0"/>
    </xf>
    <xf numFmtId="0" fontId="0" fillId="0" borderId="1" xfId="0" applyBorder="1" applyAlignment="1" applyProtection="1">
      <alignment horizontal="center"/>
      <protection locked="0"/>
    </xf>
    <xf numFmtId="168" fontId="3" fillId="8" borderId="1" xfId="0" applyNumberFormat="1" applyFont="1" applyFill="1" applyBorder="1" applyAlignment="1" applyProtection="1">
      <alignment horizontal="center"/>
      <protection locked="0"/>
    </xf>
    <xf numFmtId="1" fontId="6" fillId="0" borderId="1" xfId="0" applyNumberFormat="1" applyFont="1" applyBorder="1" applyAlignment="1" applyProtection="1">
      <alignment horizontal="center"/>
      <protection locked="0"/>
    </xf>
    <xf numFmtId="1" fontId="0" fillId="0" borderId="1" xfId="0" applyNumberFormat="1" applyBorder="1" applyAlignment="1" applyProtection="1">
      <alignment horizontal="center"/>
      <protection locked="0"/>
    </xf>
    <xf numFmtId="1" fontId="3" fillId="4" borderId="1" xfId="0" applyNumberFormat="1" applyFont="1" applyFill="1" applyBorder="1" applyAlignment="1" applyProtection="1">
      <alignment horizontal="center"/>
      <protection locked="0"/>
    </xf>
    <xf numFmtId="1" fontId="3" fillId="8" borderId="1" xfId="0" applyNumberFormat="1" applyFont="1" applyFill="1" applyBorder="1" applyAlignment="1" applyProtection="1">
      <alignment horizontal="center"/>
      <protection locked="0"/>
    </xf>
    <xf numFmtId="16" fontId="0" fillId="0" borderId="1" xfId="0" applyNumberFormat="1" applyBorder="1" applyAlignment="1" applyProtection="1">
      <alignment horizontal="center"/>
      <protection locked="0"/>
    </xf>
    <xf numFmtId="0" fontId="0" fillId="5" borderId="1" xfId="0" applyFill="1" applyBorder="1" applyAlignment="1" applyProtection="1">
      <alignment horizontal="center"/>
      <protection locked="0"/>
    </xf>
    <xf numFmtId="9" fontId="0" fillId="5" borderId="1" xfId="0" applyNumberFormat="1" applyFill="1" applyBorder="1" applyProtection="1">
      <protection locked="0"/>
    </xf>
    <xf numFmtId="165" fontId="3" fillId="5" borderId="1" xfId="0" applyNumberFormat="1" applyFont="1" applyFill="1" applyBorder="1" applyAlignment="1" applyProtection="1">
      <alignment horizontal="center"/>
      <protection locked="0"/>
    </xf>
    <xf numFmtId="168" fontId="3" fillId="5" borderId="1" xfId="0" applyNumberFormat="1" applyFont="1" applyFill="1" applyBorder="1" applyAlignment="1" applyProtection="1">
      <alignment horizontal="center"/>
      <protection locked="0"/>
    </xf>
    <xf numFmtId="1" fontId="7" fillId="5" borderId="1" xfId="0" applyNumberFormat="1" applyFont="1" applyFill="1" applyBorder="1" applyAlignment="1" applyProtection="1">
      <alignment horizontal="center"/>
      <protection locked="0"/>
    </xf>
    <xf numFmtId="1" fontId="6" fillId="5" borderId="1" xfId="0" applyNumberFormat="1" applyFont="1" applyFill="1" applyBorder="1" applyAlignment="1" applyProtection="1">
      <alignment horizontal="center"/>
      <protection locked="0"/>
    </xf>
    <xf numFmtId="1" fontId="6" fillId="5" borderId="7" xfId="0" applyNumberFormat="1" applyFont="1" applyFill="1" applyBorder="1" applyAlignment="1" applyProtection="1">
      <alignment horizontal="center"/>
      <protection locked="0"/>
    </xf>
    <xf numFmtId="9" fontId="6" fillId="5" borderId="1" xfId="0" applyNumberFormat="1" applyFont="1" applyFill="1" applyBorder="1" applyAlignment="1" applyProtection="1">
      <alignment horizontal="center"/>
      <protection locked="0"/>
    </xf>
    <xf numFmtId="166" fontId="1" fillId="5" borderId="1" xfId="0" applyNumberFormat="1" applyFont="1" applyFill="1" applyBorder="1" applyAlignment="1" applyProtection="1">
      <alignment horizontal="center"/>
      <protection locked="0"/>
    </xf>
    <xf numFmtId="16" fontId="0" fillId="5" borderId="1" xfId="0" applyNumberFormat="1" applyFill="1" applyBorder="1" applyAlignment="1" applyProtection="1">
      <alignment horizontal="center"/>
      <protection locked="0"/>
    </xf>
    <xf numFmtId="3" fontId="3" fillId="5" borderId="1" xfId="0" applyNumberFormat="1" applyFont="1" applyFill="1" applyBorder="1" applyAlignment="1" applyProtection="1">
      <alignment horizontal="center"/>
      <protection locked="0"/>
    </xf>
    <xf numFmtId="167" fontId="3" fillId="5" borderId="1" xfId="0" applyNumberFormat="1" applyFont="1" applyFill="1" applyBorder="1" applyAlignment="1" applyProtection="1">
      <alignment horizontal="center"/>
      <protection locked="0"/>
    </xf>
    <xf numFmtId="167" fontId="0" fillId="5" borderId="1" xfId="0" applyNumberFormat="1" applyFill="1" applyBorder="1" applyAlignment="1" applyProtection="1">
      <alignment horizontal="center"/>
      <protection locked="0"/>
    </xf>
    <xf numFmtId="1" fontId="3" fillId="9" borderId="1" xfId="0" applyNumberFormat="1" applyFont="1" applyFill="1" applyBorder="1" applyAlignment="1" applyProtection="1">
      <alignment horizontal="center"/>
      <protection locked="0"/>
    </xf>
    <xf numFmtId="0" fontId="0" fillId="8" borderId="0" xfId="0" applyFill="1" applyProtection="1">
      <protection locked="0"/>
    </xf>
    <xf numFmtId="169" fontId="0" fillId="0" borderId="1" xfId="0" applyNumberFormat="1" applyBorder="1" applyAlignment="1" applyProtection="1">
      <alignment horizontal="center"/>
      <protection locked="0"/>
    </xf>
    <xf numFmtId="0" fontId="12" fillId="2" borderId="1" xfId="0" applyFont="1" applyFill="1" applyBorder="1" applyAlignment="1" applyProtection="1">
      <alignment horizontal="center"/>
      <protection locked="0"/>
    </xf>
    <xf numFmtId="9" fontId="0" fillId="2" borderId="1" xfId="0" applyNumberFormat="1" applyFill="1" applyBorder="1" applyProtection="1">
      <protection locked="0"/>
    </xf>
    <xf numFmtId="165" fontId="0" fillId="4" borderId="1" xfId="0" applyNumberFormat="1" applyFill="1" applyBorder="1" applyAlignment="1" applyProtection="1">
      <alignment horizontal="center"/>
      <protection locked="0"/>
    </xf>
    <xf numFmtId="1" fontId="0" fillId="4" borderId="1" xfId="0" applyNumberFormat="1" applyFill="1" applyBorder="1" applyAlignment="1" applyProtection="1">
      <alignment horizontal="center"/>
      <protection locked="0"/>
    </xf>
    <xf numFmtId="0" fontId="3" fillId="0" borderId="0" xfId="0" applyFont="1" applyAlignment="1" applyProtection="1">
      <alignment horizontal="left"/>
      <protection locked="0"/>
    </xf>
    <xf numFmtId="0" fontId="3" fillId="0" borderId="4" xfId="0" applyFont="1" applyBorder="1" applyProtection="1">
      <protection locked="0"/>
    </xf>
    <xf numFmtId="0" fontId="3" fillId="5" borderId="6"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66" fontId="9" fillId="0" borderId="10" xfId="0" applyNumberFormat="1" applyFont="1" applyBorder="1" applyAlignment="1">
      <alignment horizontal="center" vertical="center"/>
    </xf>
    <xf numFmtId="166" fontId="9" fillId="0" borderId="2" xfId="0" applyNumberFormat="1" applyFont="1" applyBorder="1" applyAlignment="1">
      <alignment horizontal="center" vertical="center"/>
    </xf>
    <xf numFmtId="0" fontId="0" fillId="7" borderId="7" xfId="0" applyFill="1" applyBorder="1" applyAlignment="1">
      <alignment horizontal="center"/>
    </xf>
    <xf numFmtId="0" fontId="0" fillId="7" borderId="5" xfId="0" applyFill="1" applyBorder="1" applyAlignment="1">
      <alignment horizontal="center"/>
    </xf>
    <xf numFmtId="0" fontId="3" fillId="2" borderId="6" xfId="0" applyFont="1" applyFill="1" applyBorder="1" applyAlignment="1" applyProtection="1">
      <alignment horizontal="center" wrapText="1"/>
      <protection locked="0"/>
    </xf>
    <xf numFmtId="0" fontId="3" fillId="2" borderId="8" xfId="0" applyFont="1" applyFill="1" applyBorder="1" applyAlignment="1" applyProtection="1">
      <alignment horizontal="center" wrapText="1"/>
      <protection locked="0"/>
    </xf>
    <xf numFmtId="0" fontId="3" fillId="2" borderId="9" xfId="0" applyFont="1" applyFill="1" applyBorder="1" applyAlignment="1" applyProtection="1">
      <alignment horizontal="center" wrapText="1"/>
      <protection locked="0"/>
    </xf>
    <xf numFmtId="0" fontId="3" fillId="4" borderId="1" xfId="0" applyFont="1" applyFill="1" applyBorder="1" applyAlignment="1" applyProtection="1">
      <alignment horizontal="center"/>
      <protection locked="0"/>
    </xf>
    <xf numFmtId="0" fontId="0" fillId="4" borderId="1" xfId="0" applyFill="1" applyBorder="1" applyAlignment="1" applyProtection="1">
      <alignment horizontal="center"/>
      <protection locked="0"/>
    </xf>
    <xf numFmtId="0" fontId="2" fillId="0" borderId="0" xfId="0" applyFont="1" applyAlignment="1">
      <alignment horizontal="center"/>
    </xf>
    <xf numFmtId="0" fontId="4" fillId="0" borderId="0" xfId="0" applyFont="1" applyAlignment="1">
      <alignment horizontal="right"/>
    </xf>
    <xf numFmtId="15" fontId="4" fillId="0" borderId="1" xfId="0" applyNumberFormat="1" applyFont="1" applyBorder="1" applyAlignment="1">
      <alignment horizontal="center"/>
    </xf>
    <xf numFmtId="0" fontId="3" fillId="3" borderId="1" xfId="0" applyFont="1" applyFill="1" applyBorder="1" applyAlignment="1" applyProtection="1">
      <alignment horizontal="center"/>
      <protection locked="0"/>
    </xf>
    <xf numFmtId="0" fontId="1" fillId="9" borderId="1" xfId="0" applyFont="1" applyFill="1" applyBorder="1" applyAlignment="1">
      <alignment horizontal="left" vertical="center" wrapText="1"/>
    </xf>
    <xf numFmtId="0" fontId="8" fillId="0" borderId="9" xfId="0" applyFont="1" applyBorder="1" applyAlignment="1">
      <alignment horizontal="left"/>
    </xf>
    <xf numFmtId="0" fontId="0" fillId="0" borderId="1" xfId="0" applyBorder="1" applyAlignment="1">
      <alignment horizontal="left" vertical="center" wrapText="1"/>
    </xf>
    <xf numFmtId="3" fontId="3" fillId="9"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0" fillId="0" borderId="12" xfId="0" applyBorder="1"/>
    <xf numFmtId="0" fontId="0" fillId="0" borderId="15" xfId="0" applyBorder="1"/>
    <xf numFmtId="0" fontId="13" fillId="0" borderId="14" xfId="0" applyFont="1" applyBorder="1" applyAlignment="1">
      <alignment horizontal="left" vertical="center"/>
    </xf>
    <xf numFmtId="0" fontId="15" fillId="0" borderId="14" xfId="0" applyFont="1" applyBorder="1" applyAlignment="1">
      <alignment horizontal="left" vertical="center"/>
    </xf>
    <xf numFmtId="0" fontId="15" fillId="0" borderId="13" xfId="0" applyFont="1" applyBorder="1" applyAlignment="1">
      <alignment horizontal="left" vertical="center"/>
    </xf>
    <xf numFmtId="0" fontId="0" fillId="0" borderId="1" xfId="0" applyFont="1" applyBorder="1" applyAlignment="1">
      <alignment horizontal="center"/>
    </xf>
    <xf numFmtId="0" fontId="3" fillId="6" borderId="9" xfId="0" applyFont="1" applyFill="1" applyBorder="1" applyAlignment="1" applyProtection="1">
      <alignment horizontal="center" wrapText="1"/>
      <protection locked="0"/>
    </xf>
    <xf numFmtId="0" fontId="0" fillId="0" borderId="1" xfId="0"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mn-lt"/>
                <a:ea typeface="+mn-ea"/>
                <a:cs typeface="+mn-cs"/>
              </a:defRPr>
            </a:pPr>
            <a:r>
              <a:rPr lang="en-US" sz="1800" b="1"/>
              <a:t>Expected effect of OA vaporizations </a:t>
            </a:r>
          </a:p>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mn-lt"/>
                <a:ea typeface="+mn-ea"/>
                <a:cs typeface="+mn-cs"/>
              </a:defRPr>
            </a:pPr>
            <a:r>
              <a:rPr lang="en-US" sz="1800" b="1"/>
              <a:t>on a strong double-deep colony</a:t>
            </a:r>
          </a:p>
        </c:rich>
      </c:tx>
      <c:layout>
        <c:manualLayout>
          <c:xMode val="edge"/>
          <c:yMode val="edge"/>
          <c:x val="0.32286765335752782"/>
          <c:y val="1.3102245285251592E-2"/>
        </c:manualLayout>
      </c:layout>
      <c:overlay val="0"/>
      <c:spPr>
        <a:noFill/>
        <a:ln>
          <a:noFill/>
        </a:ln>
        <a:effectLst/>
      </c:spPr>
    </c:title>
    <c:autoTitleDeleted val="0"/>
    <c:plotArea>
      <c:layout>
        <c:manualLayout>
          <c:layoutTarget val="inner"/>
          <c:xMode val="edge"/>
          <c:yMode val="edge"/>
          <c:x val="6.8488080190753101E-2"/>
          <c:y val="0.20561232695875417"/>
          <c:w val="0.87503925907822211"/>
          <c:h val="0.54252199638630116"/>
        </c:manualLayout>
      </c:layout>
      <c:barChart>
        <c:barDir val="col"/>
        <c:grouping val="clustered"/>
        <c:varyColors val="0"/>
        <c:ser>
          <c:idx val="0"/>
          <c:order val="3"/>
          <c:tx>
            <c:v>Expected 48-hr mite drop</c:v>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'OAV model'!$CJ$66:$CJ$126</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'OAV model'!$DG$66:$DG$126</c:f>
              <c:numCache>
                <c:formatCode>0</c:formatCode>
                <c:ptCount val="61"/>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extLst>
            <c:ext xmlns:c16="http://schemas.microsoft.com/office/drawing/2014/chart" uri="{C3380CC4-5D6E-409C-BE32-E72D297353CC}">
              <c16:uniqueId val="{00000000-DFD5-4C9C-8CD5-E741EA2DC055}"/>
            </c:ext>
          </c:extLst>
        </c:ser>
        <c:dLbls>
          <c:showLegendKey val="0"/>
          <c:showVal val="0"/>
          <c:showCatName val="0"/>
          <c:showSerName val="0"/>
          <c:showPercent val="0"/>
          <c:showBubbleSize val="0"/>
        </c:dLbls>
        <c:gapWidth val="0"/>
        <c:overlap val="100"/>
        <c:axId val="62124496"/>
        <c:axId val="62124976"/>
        <c:extLst/>
      </c:barChart>
      <c:barChart>
        <c:barDir val="col"/>
        <c:grouping val="clustered"/>
        <c:varyColors val="0"/>
        <c:ser>
          <c:idx val="3"/>
          <c:order val="2"/>
          <c:tx>
            <c:strRef>
              <c:f>'OAV model'!$DF$53</c:f>
              <c:strCache>
                <c:ptCount val="1"/>
                <c:pt idx="0">
                  <c:v>Expected 24-hr mite drop count</c:v>
                </c:pt>
              </c:strCache>
            </c:strRef>
          </c:tx>
          <c:spPr>
            <a:noFill/>
            <a:ln w="28575">
              <a:noFill/>
            </a:ln>
          </c:spPr>
          <c:invertIfNegative val="0"/>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'OAV model'!$CJ$66:$CJ$126</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'OAV model'!$DF$66:$DF$126</c:f>
              <c:numCache>
                <c:formatCode>0</c:formatCode>
                <c:ptCount val="61"/>
                <c:pt idx="0">
                  <c:v>35.701342073123747</c:v>
                </c:pt>
                <c:pt idx="2">
                  <c:v>37.472966696266781</c:v>
                </c:pt>
                <c:pt idx="4">
                  <c:v>39.227756934711721</c:v>
                </c:pt>
                <c:pt idx="6">
                  <c:v>40.973706149083789</c:v>
                </c:pt>
                <c:pt idx="8">
                  <c:v>42.720983284614739</c:v>
                </c:pt>
                <c:pt idx="10">
                  <c:v>44.480084120058564</c:v>
                </c:pt>
                <c:pt idx="12">
                  <c:v>46.260940838450779</c:v>
                </c:pt>
                <c:pt idx="14">
                  <c:v>47.247741866823183</c:v>
                </c:pt>
                <c:pt idx="16">
                  <c:v>48.569302866694059</c:v>
                </c:pt>
                <c:pt idx="18">
                  <c:v>50.145532230266426</c:v>
                </c:pt>
                <c:pt idx="20">
                  <c:v>51.917128290245671</c:v>
                </c:pt>
                <c:pt idx="22">
                  <c:v>53.841402506206606</c:v>
                </c:pt>
                <c:pt idx="24">
                  <c:v>55.888552249739803</c:v>
                </c:pt>
                <c:pt idx="26">
                  <c:v>57.962118406704626</c:v>
                </c:pt>
                <c:pt idx="28">
                  <c:v>59.909839589396711</c:v>
                </c:pt>
                <c:pt idx="30">
                  <c:v>61.858391033267232</c:v>
                </c:pt>
                <c:pt idx="32">
                  <c:v>63.882507604089568</c:v>
                </c:pt>
                <c:pt idx="34">
                  <c:v>66.022877339415629</c:v>
                </c:pt>
                <c:pt idx="36">
                  <c:v>68.298720920272658</c:v>
                </c:pt>
                <c:pt idx="38">
                  <c:v>70.716413331892795</c:v>
                </c:pt>
                <c:pt idx="40">
                  <c:v>73.229488717031742</c:v>
                </c:pt>
                <c:pt idx="42">
                  <c:v>75.788733871160872</c:v>
                </c:pt>
                <c:pt idx="44">
                  <c:v>78.391156512995309</c:v>
                </c:pt>
                <c:pt idx="46">
                  <c:v>81.054830568109935</c:v>
                </c:pt>
                <c:pt idx="48">
                  <c:v>83.804569952913909</c:v>
                </c:pt>
                <c:pt idx="50">
                  <c:v>86.664436606766671</c:v>
                </c:pt>
                <c:pt idx="52">
                  <c:v>89.652244360146028</c:v>
                </c:pt>
                <c:pt idx="54">
                  <c:v>92.76380018578817</c:v>
                </c:pt>
                <c:pt idx="56">
                  <c:v>95.984890000512024</c:v>
                </c:pt>
                <c:pt idx="58">
                  <c:v>99.305718084202937</c:v>
                </c:pt>
                <c:pt idx="60">
                  <c:v>102.72517316423176</c:v>
                </c:pt>
              </c:numCache>
            </c:numRef>
          </c:val>
          <c:extLst>
            <c:ext xmlns:c16="http://schemas.microsoft.com/office/drawing/2014/chart" uri="{C3380CC4-5D6E-409C-BE32-E72D297353CC}">
              <c16:uniqueId val="{00000001-DFD5-4C9C-8CD5-E741EA2DC055}"/>
            </c:ext>
          </c:extLst>
        </c:ser>
        <c:dLbls>
          <c:showLegendKey val="0"/>
          <c:showVal val="0"/>
          <c:showCatName val="0"/>
          <c:showSerName val="0"/>
          <c:showPercent val="0"/>
          <c:showBubbleSize val="0"/>
        </c:dLbls>
        <c:gapWidth val="0"/>
        <c:overlap val="100"/>
        <c:axId val="385048032"/>
        <c:axId val="385026432"/>
        <c:extLst/>
      </c:barChart>
      <c:lineChart>
        <c:grouping val="standard"/>
        <c:varyColors val="0"/>
        <c:ser>
          <c:idx val="1"/>
          <c:order val="0"/>
          <c:tx>
            <c:v>Total mite population</c:v>
          </c:tx>
          <c:spPr>
            <a:ln w="28575" cap="rnd">
              <a:solidFill>
                <a:srgbClr val="C00000"/>
              </a:solidFill>
              <a:round/>
            </a:ln>
            <a:effectLst/>
          </c:spPr>
          <c:marker>
            <c:symbol val="none"/>
          </c:marker>
          <c:dLbls>
            <c:dLbl>
              <c:idx val="0"/>
              <c:layout>
                <c:manualLayout>
                  <c:x val="-1.4652016060686278E-2"/>
                  <c:y val="-3.9000616869993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D5-4C9C-8CD5-E741EA2DC055}"/>
                </c:ext>
              </c:extLst>
            </c:dLbl>
            <c:dLbl>
              <c:idx val="1"/>
              <c:delete val="1"/>
              <c:extLst>
                <c:ext xmlns:c15="http://schemas.microsoft.com/office/drawing/2012/chart" uri="{CE6537A1-D6FC-4f65-9D91-7224C49458BB}"/>
                <c:ext xmlns:c16="http://schemas.microsoft.com/office/drawing/2014/chart" uri="{C3380CC4-5D6E-409C-BE32-E72D297353CC}">
                  <c16:uniqueId val="{00000003-DFD5-4C9C-8CD5-E741EA2DC055}"/>
                </c:ext>
              </c:extLst>
            </c:dLbl>
            <c:dLbl>
              <c:idx val="2"/>
              <c:delete val="1"/>
              <c:extLst>
                <c:ext xmlns:c15="http://schemas.microsoft.com/office/drawing/2012/chart" uri="{CE6537A1-D6FC-4f65-9D91-7224C49458BB}"/>
                <c:ext xmlns:c16="http://schemas.microsoft.com/office/drawing/2014/chart" uri="{C3380CC4-5D6E-409C-BE32-E72D297353CC}">
                  <c16:uniqueId val="{00000004-DFD5-4C9C-8CD5-E741EA2DC055}"/>
                </c:ext>
              </c:extLst>
            </c:dLbl>
            <c:dLbl>
              <c:idx val="3"/>
              <c:layout>
                <c:manualLayout>
                  <c:x val="1.2210013383904999E-3"/>
                  <c:y val="-4.3875693978742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D5-4C9C-8CD5-E741EA2DC055}"/>
                </c:ext>
              </c:extLst>
            </c:dLbl>
            <c:dLbl>
              <c:idx val="4"/>
              <c:delete val="1"/>
              <c:extLst>
                <c:ext xmlns:c15="http://schemas.microsoft.com/office/drawing/2012/chart" uri="{CE6537A1-D6FC-4f65-9D91-7224C49458BB}"/>
                <c:ext xmlns:c16="http://schemas.microsoft.com/office/drawing/2014/chart" uri="{C3380CC4-5D6E-409C-BE32-E72D297353CC}">
                  <c16:uniqueId val="{00000006-DFD5-4C9C-8CD5-E741EA2DC055}"/>
                </c:ext>
              </c:extLst>
            </c:dLbl>
            <c:dLbl>
              <c:idx val="5"/>
              <c:delete val="1"/>
              <c:extLst>
                <c:ext xmlns:c15="http://schemas.microsoft.com/office/drawing/2012/chart" uri="{CE6537A1-D6FC-4f65-9D91-7224C49458BB}"/>
                <c:ext xmlns:c16="http://schemas.microsoft.com/office/drawing/2014/chart" uri="{C3380CC4-5D6E-409C-BE32-E72D297353CC}">
                  <c16:uniqueId val="{00000007-DFD5-4C9C-8CD5-E741EA2DC055}"/>
                </c:ext>
              </c:extLst>
            </c:dLbl>
            <c:dLbl>
              <c:idx val="6"/>
              <c:delete val="1"/>
              <c:extLst>
                <c:ext xmlns:c15="http://schemas.microsoft.com/office/drawing/2012/chart" uri="{CE6537A1-D6FC-4f65-9D91-7224C49458BB}"/>
                <c:ext xmlns:c16="http://schemas.microsoft.com/office/drawing/2014/chart" uri="{C3380CC4-5D6E-409C-BE32-E72D297353CC}">
                  <c16:uniqueId val="{00000008-DFD5-4C9C-8CD5-E741EA2DC055}"/>
                </c:ext>
              </c:extLst>
            </c:dLbl>
            <c:dLbl>
              <c:idx val="7"/>
              <c:delete val="1"/>
              <c:extLst>
                <c:ext xmlns:c15="http://schemas.microsoft.com/office/drawing/2012/chart" uri="{CE6537A1-D6FC-4f65-9D91-7224C49458BB}"/>
                <c:ext xmlns:c16="http://schemas.microsoft.com/office/drawing/2014/chart" uri="{C3380CC4-5D6E-409C-BE32-E72D297353CC}">
                  <c16:uniqueId val="{00000009-DFD5-4C9C-8CD5-E741EA2DC055}"/>
                </c:ext>
              </c:extLst>
            </c:dLbl>
            <c:dLbl>
              <c:idx val="8"/>
              <c:layout>
                <c:manualLayout>
                  <c:x val="0"/>
                  <c:y val="-3.6563078315618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D5-4C9C-8CD5-E741EA2DC055}"/>
                </c:ext>
              </c:extLst>
            </c:dLbl>
            <c:dLbl>
              <c:idx val="9"/>
              <c:delete val="1"/>
              <c:extLst>
                <c:ext xmlns:c15="http://schemas.microsoft.com/office/drawing/2012/chart" uri="{CE6537A1-D6FC-4f65-9D91-7224C49458BB}"/>
                <c:ext xmlns:c16="http://schemas.microsoft.com/office/drawing/2014/chart" uri="{C3380CC4-5D6E-409C-BE32-E72D297353CC}">
                  <c16:uniqueId val="{0000000B-DFD5-4C9C-8CD5-E741EA2DC055}"/>
                </c:ext>
              </c:extLst>
            </c:dLbl>
            <c:dLbl>
              <c:idx val="10"/>
              <c:delete val="1"/>
              <c:extLst>
                <c:ext xmlns:c15="http://schemas.microsoft.com/office/drawing/2012/chart" uri="{CE6537A1-D6FC-4f65-9D91-7224C49458BB}"/>
                <c:ext xmlns:c16="http://schemas.microsoft.com/office/drawing/2014/chart" uri="{C3380CC4-5D6E-409C-BE32-E72D297353CC}">
                  <c16:uniqueId val="{0000000C-DFD5-4C9C-8CD5-E741EA2DC055}"/>
                </c:ext>
              </c:extLst>
            </c:dLbl>
            <c:dLbl>
              <c:idx val="11"/>
              <c:delete val="1"/>
              <c:extLst>
                <c:ext xmlns:c15="http://schemas.microsoft.com/office/drawing/2012/chart" uri="{CE6537A1-D6FC-4f65-9D91-7224C49458BB}"/>
                <c:ext xmlns:c16="http://schemas.microsoft.com/office/drawing/2014/chart" uri="{C3380CC4-5D6E-409C-BE32-E72D297353CC}">
                  <c16:uniqueId val="{0000000D-DFD5-4C9C-8CD5-E741EA2DC055}"/>
                </c:ext>
              </c:extLst>
            </c:dLbl>
            <c:dLbl>
              <c:idx val="12"/>
              <c:delete val="1"/>
              <c:extLst>
                <c:ext xmlns:c15="http://schemas.microsoft.com/office/drawing/2012/chart" uri="{CE6537A1-D6FC-4f65-9D91-7224C49458BB}"/>
                <c:ext xmlns:c16="http://schemas.microsoft.com/office/drawing/2014/chart" uri="{C3380CC4-5D6E-409C-BE32-E72D297353CC}">
                  <c16:uniqueId val="{0000000E-DFD5-4C9C-8CD5-E741EA2DC055}"/>
                </c:ext>
              </c:extLst>
            </c:dLbl>
            <c:dLbl>
              <c:idx val="13"/>
              <c:layout>
                <c:manualLayout>
                  <c:x val="-1.2210013383905222E-3"/>
                  <c:y val="-3.6563078315618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FD5-4C9C-8CD5-E741EA2DC055}"/>
                </c:ext>
              </c:extLst>
            </c:dLbl>
            <c:dLbl>
              <c:idx val="14"/>
              <c:delete val="1"/>
              <c:extLst>
                <c:ext xmlns:c15="http://schemas.microsoft.com/office/drawing/2012/chart" uri="{CE6537A1-D6FC-4f65-9D91-7224C49458BB}"/>
                <c:ext xmlns:c16="http://schemas.microsoft.com/office/drawing/2014/chart" uri="{C3380CC4-5D6E-409C-BE32-E72D297353CC}">
                  <c16:uniqueId val="{00000010-DFD5-4C9C-8CD5-E741EA2DC055}"/>
                </c:ext>
              </c:extLst>
            </c:dLbl>
            <c:dLbl>
              <c:idx val="15"/>
              <c:delete val="1"/>
              <c:extLst>
                <c:ext xmlns:c15="http://schemas.microsoft.com/office/drawing/2012/chart" uri="{CE6537A1-D6FC-4f65-9D91-7224C49458BB}"/>
                <c:ext xmlns:c16="http://schemas.microsoft.com/office/drawing/2014/chart" uri="{C3380CC4-5D6E-409C-BE32-E72D297353CC}">
                  <c16:uniqueId val="{00000011-DFD5-4C9C-8CD5-E741EA2DC055}"/>
                </c:ext>
              </c:extLst>
            </c:dLbl>
            <c:dLbl>
              <c:idx val="16"/>
              <c:delete val="1"/>
              <c:extLst>
                <c:ext xmlns:c15="http://schemas.microsoft.com/office/drawing/2012/chart" uri="{CE6537A1-D6FC-4f65-9D91-7224C49458BB}"/>
                <c:ext xmlns:c16="http://schemas.microsoft.com/office/drawing/2014/chart" uri="{C3380CC4-5D6E-409C-BE32-E72D297353CC}">
                  <c16:uniqueId val="{00000012-DFD5-4C9C-8CD5-E741EA2DC055}"/>
                </c:ext>
              </c:extLst>
            </c:dLbl>
            <c:dLbl>
              <c:idx val="17"/>
              <c:delete val="1"/>
              <c:extLst>
                <c:ext xmlns:c15="http://schemas.microsoft.com/office/drawing/2012/chart" uri="{CE6537A1-D6FC-4f65-9D91-7224C49458BB}"/>
                <c:ext xmlns:c16="http://schemas.microsoft.com/office/drawing/2014/chart" uri="{C3380CC4-5D6E-409C-BE32-E72D297353CC}">
                  <c16:uniqueId val="{00000013-DFD5-4C9C-8CD5-E741EA2DC055}"/>
                </c:ext>
              </c:extLst>
            </c:dLbl>
            <c:dLbl>
              <c:idx val="18"/>
              <c:delete val="1"/>
              <c:extLst>
                <c:ext xmlns:c15="http://schemas.microsoft.com/office/drawing/2012/chart" uri="{CE6537A1-D6FC-4f65-9D91-7224C49458BB}"/>
                <c:ext xmlns:c16="http://schemas.microsoft.com/office/drawing/2014/chart" uri="{C3380CC4-5D6E-409C-BE32-E72D297353CC}">
                  <c16:uniqueId val="{00000014-DFD5-4C9C-8CD5-E741EA2DC055}"/>
                </c:ext>
              </c:extLst>
            </c:dLbl>
            <c:dLbl>
              <c:idx val="19"/>
              <c:delete val="1"/>
              <c:extLst>
                <c:ext xmlns:c15="http://schemas.microsoft.com/office/drawing/2012/chart" uri="{CE6537A1-D6FC-4f65-9D91-7224C49458BB}"/>
                <c:ext xmlns:c16="http://schemas.microsoft.com/office/drawing/2014/chart" uri="{C3380CC4-5D6E-409C-BE32-E72D297353CC}">
                  <c16:uniqueId val="{00000015-DFD5-4C9C-8CD5-E741EA2DC055}"/>
                </c:ext>
              </c:extLst>
            </c:dLbl>
            <c:dLbl>
              <c:idx val="20"/>
              <c:layout>
                <c:manualLayout>
                  <c:x val="-2.442002676781089E-3"/>
                  <c:y val="-4.1438155424367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FD5-4C9C-8CD5-E741EA2DC055}"/>
                </c:ext>
              </c:extLst>
            </c:dLbl>
            <c:dLbl>
              <c:idx val="21"/>
              <c:delete val="1"/>
              <c:extLst>
                <c:ext xmlns:c15="http://schemas.microsoft.com/office/drawing/2012/chart" uri="{CE6537A1-D6FC-4f65-9D91-7224C49458BB}"/>
                <c:ext xmlns:c16="http://schemas.microsoft.com/office/drawing/2014/chart" uri="{C3380CC4-5D6E-409C-BE32-E72D297353CC}">
                  <c16:uniqueId val="{00000017-DFD5-4C9C-8CD5-E741EA2DC055}"/>
                </c:ext>
              </c:extLst>
            </c:dLbl>
            <c:dLbl>
              <c:idx val="22"/>
              <c:delete val="1"/>
              <c:extLst>
                <c:ext xmlns:c15="http://schemas.microsoft.com/office/drawing/2012/chart" uri="{CE6537A1-D6FC-4f65-9D91-7224C49458BB}"/>
                <c:ext xmlns:c16="http://schemas.microsoft.com/office/drawing/2014/chart" uri="{C3380CC4-5D6E-409C-BE32-E72D297353CC}">
                  <c16:uniqueId val="{00000018-DFD5-4C9C-8CD5-E741EA2DC055}"/>
                </c:ext>
              </c:extLst>
            </c:dLbl>
            <c:dLbl>
              <c:idx val="23"/>
              <c:delete val="1"/>
              <c:extLst>
                <c:ext xmlns:c15="http://schemas.microsoft.com/office/drawing/2012/chart" uri="{CE6537A1-D6FC-4f65-9D91-7224C49458BB}"/>
                <c:ext xmlns:c16="http://schemas.microsoft.com/office/drawing/2014/chart" uri="{C3380CC4-5D6E-409C-BE32-E72D297353CC}">
                  <c16:uniqueId val="{00000019-DFD5-4C9C-8CD5-E741EA2DC055}"/>
                </c:ext>
              </c:extLst>
            </c:dLbl>
            <c:dLbl>
              <c:idx val="24"/>
              <c:delete val="1"/>
              <c:extLst>
                <c:ext xmlns:c15="http://schemas.microsoft.com/office/drawing/2012/chart" uri="{CE6537A1-D6FC-4f65-9D91-7224C49458BB}"/>
                <c:ext xmlns:c16="http://schemas.microsoft.com/office/drawing/2014/chart" uri="{C3380CC4-5D6E-409C-BE32-E72D297353CC}">
                  <c16:uniqueId val="{0000001A-DFD5-4C9C-8CD5-E741EA2DC055}"/>
                </c:ext>
              </c:extLst>
            </c:dLbl>
            <c:dLbl>
              <c:idx val="25"/>
              <c:delete val="1"/>
              <c:extLst>
                <c:ext xmlns:c15="http://schemas.microsoft.com/office/drawing/2012/chart" uri="{CE6537A1-D6FC-4f65-9D91-7224C49458BB}"/>
                <c:ext xmlns:c16="http://schemas.microsoft.com/office/drawing/2014/chart" uri="{C3380CC4-5D6E-409C-BE32-E72D297353CC}">
                  <c16:uniqueId val="{0000001B-DFD5-4C9C-8CD5-E741EA2DC055}"/>
                </c:ext>
              </c:extLst>
            </c:dLbl>
            <c:dLbl>
              <c:idx val="26"/>
              <c:delete val="1"/>
              <c:extLst>
                <c:ext xmlns:c15="http://schemas.microsoft.com/office/drawing/2012/chart" uri="{CE6537A1-D6FC-4f65-9D91-7224C49458BB}"/>
                <c:ext xmlns:c16="http://schemas.microsoft.com/office/drawing/2014/chart" uri="{C3380CC4-5D6E-409C-BE32-E72D297353CC}">
                  <c16:uniqueId val="{0000001C-DFD5-4C9C-8CD5-E741EA2DC055}"/>
                </c:ext>
              </c:extLst>
            </c:dLbl>
            <c:dLbl>
              <c:idx val="27"/>
              <c:layout>
                <c:manualLayout>
                  <c:x val="2.442002676780955E-3"/>
                  <c:y val="-4.3875693978742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FD5-4C9C-8CD5-E741EA2DC055}"/>
                </c:ext>
              </c:extLst>
            </c:dLbl>
            <c:dLbl>
              <c:idx val="28"/>
              <c:delete val="1"/>
              <c:extLst>
                <c:ext xmlns:c15="http://schemas.microsoft.com/office/drawing/2012/chart" uri="{CE6537A1-D6FC-4f65-9D91-7224C49458BB}"/>
                <c:ext xmlns:c16="http://schemas.microsoft.com/office/drawing/2014/chart" uri="{C3380CC4-5D6E-409C-BE32-E72D297353CC}">
                  <c16:uniqueId val="{0000001E-DFD5-4C9C-8CD5-E741EA2DC055}"/>
                </c:ext>
              </c:extLst>
            </c:dLbl>
            <c:dLbl>
              <c:idx val="29"/>
              <c:delete val="1"/>
              <c:extLst>
                <c:ext xmlns:c15="http://schemas.microsoft.com/office/drawing/2012/chart" uri="{CE6537A1-D6FC-4f65-9D91-7224C49458BB}"/>
                <c:ext xmlns:c16="http://schemas.microsoft.com/office/drawing/2014/chart" uri="{C3380CC4-5D6E-409C-BE32-E72D297353CC}">
                  <c16:uniqueId val="{0000001F-DFD5-4C9C-8CD5-E741EA2DC055}"/>
                </c:ext>
              </c:extLst>
            </c:dLbl>
            <c:dLbl>
              <c:idx val="30"/>
              <c:delete val="1"/>
              <c:extLst>
                <c:ext xmlns:c15="http://schemas.microsoft.com/office/drawing/2012/chart" uri="{CE6537A1-D6FC-4f65-9D91-7224C49458BB}"/>
                <c:ext xmlns:c16="http://schemas.microsoft.com/office/drawing/2014/chart" uri="{C3380CC4-5D6E-409C-BE32-E72D297353CC}">
                  <c16:uniqueId val="{00000020-DFD5-4C9C-8CD5-E741EA2DC055}"/>
                </c:ext>
              </c:extLst>
            </c:dLbl>
            <c:dLbl>
              <c:idx val="31"/>
              <c:layout>
                <c:manualLayout>
                  <c:x val="8.5470093687335658E-3"/>
                  <c:y val="-4.9969540364678794E-2"/>
                </c:manualLayout>
              </c:layout>
              <c:spPr>
                <a:noFill/>
                <a:ln>
                  <a:noFill/>
                </a:ln>
                <a:effectLst/>
              </c:spPr>
              <c:txPr>
                <a:bodyPr wrap="square" lIns="38100" tIns="19050" rIns="38100" bIns="19050" anchor="ctr">
                  <a:noAutofit/>
                </a:bodyPr>
                <a:lstStyle/>
                <a:p>
                  <a:pPr>
                    <a:defRPr b="1">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3.8107451771168199E-2"/>
                      <c:h val="4.9250562457223125E-2"/>
                    </c:manualLayout>
                  </c15:layout>
                </c:ext>
                <c:ext xmlns:c16="http://schemas.microsoft.com/office/drawing/2014/chart" uri="{C3380CC4-5D6E-409C-BE32-E72D297353CC}">
                  <c16:uniqueId val="{00000021-DFD5-4C9C-8CD5-E741EA2DC055}"/>
                </c:ext>
              </c:extLst>
            </c:dLbl>
            <c:dLbl>
              <c:idx val="32"/>
              <c:delete val="1"/>
              <c:extLst>
                <c:ext xmlns:c15="http://schemas.microsoft.com/office/drawing/2012/chart" uri="{CE6537A1-D6FC-4f65-9D91-7224C49458BB}"/>
                <c:ext xmlns:c16="http://schemas.microsoft.com/office/drawing/2014/chart" uri="{C3380CC4-5D6E-409C-BE32-E72D297353CC}">
                  <c16:uniqueId val="{00000022-DFD5-4C9C-8CD5-E741EA2DC055}"/>
                </c:ext>
              </c:extLst>
            </c:dLbl>
            <c:dLbl>
              <c:idx val="33"/>
              <c:delete val="1"/>
              <c:extLst>
                <c:ext xmlns:c15="http://schemas.microsoft.com/office/drawing/2012/chart" uri="{CE6537A1-D6FC-4f65-9D91-7224C49458BB}"/>
                <c:ext xmlns:c16="http://schemas.microsoft.com/office/drawing/2014/chart" uri="{C3380CC4-5D6E-409C-BE32-E72D297353CC}">
                  <c16:uniqueId val="{00000023-DFD5-4C9C-8CD5-E741EA2DC055}"/>
                </c:ext>
              </c:extLst>
            </c:dLbl>
            <c:dLbl>
              <c:idx val="34"/>
              <c:delete val="1"/>
              <c:extLst>
                <c:ext xmlns:c15="http://schemas.microsoft.com/office/drawing/2012/chart" uri="{CE6537A1-D6FC-4f65-9D91-7224C49458BB}"/>
                <c:ext xmlns:c16="http://schemas.microsoft.com/office/drawing/2014/chart" uri="{C3380CC4-5D6E-409C-BE32-E72D297353CC}">
                  <c16:uniqueId val="{00000024-DFD5-4C9C-8CD5-E741EA2DC055}"/>
                </c:ext>
              </c:extLst>
            </c:dLbl>
            <c:dLbl>
              <c:idx val="35"/>
              <c:layout>
                <c:manualLayout>
                  <c:x val="2.4420026767810444E-3"/>
                  <c:y val="-5.3625848196240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D5-4C9C-8CD5-E741EA2DC055}"/>
                </c:ext>
              </c:extLst>
            </c:dLbl>
            <c:dLbl>
              <c:idx val="36"/>
              <c:delete val="1"/>
              <c:extLst>
                <c:ext xmlns:c15="http://schemas.microsoft.com/office/drawing/2012/chart" uri="{CE6537A1-D6FC-4f65-9D91-7224C49458BB}"/>
                <c:ext xmlns:c16="http://schemas.microsoft.com/office/drawing/2014/chart" uri="{C3380CC4-5D6E-409C-BE32-E72D297353CC}">
                  <c16:uniqueId val="{00000026-DFD5-4C9C-8CD5-E741EA2DC055}"/>
                </c:ext>
              </c:extLst>
            </c:dLbl>
            <c:dLbl>
              <c:idx val="37"/>
              <c:delete val="1"/>
              <c:extLst>
                <c:ext xmlns:c15="http://schemas.microsoft.com/office/drawing/2012/chart" uri="{CE6537A1-D6FC-4f65-9D91-7224C49458BB}"/>
                <c:ext xmlns:c16="http://schemas.microsoft.com/office/drawing/2014/chart" uri="{C3380CC4-5D6E-409C-BE32-E72D297353CC}">
                  <c16:uniqueId val="{00000027-DFD5-4C9C-8CD5-E741EA2DC055}"/>
                </c:ext>
              </c:extLst>
            </c:dLbl>
            <c:dLbl>
              <c:idx val="38"/>
              <c:delete val="1"/>
              <c:extLst>
                <c:ext xmlns:c15="http://schemas.microsoft.com/office/drawing/2012/chart" uri="{CE6537A1-D6FC-4f65-9D91-7224C49458BB}"/>
                <c:ext xmlns:c16="http://schemas.microsoft.com/office/drawing/2014/chart" uri="{C3380CC4-5D6E-409C-BE32-E72D297353CC}">
                  <c16:uniqueId val="{00000028-DFD5-4C9C-8CD5-E741EA2DC055}"/>
                </c:ext>
              </c:extLst>
            </c:dLbl>
            <c:dLbl>
              <c:idx val="39"/>
              <c:delete val="1"/>
              <c:extLst>
                <c:ext xmlns:c15="http://schemas.microsoft.com/office/drawing/2012/chart" uri="{CE6537A1-D6FC-4f65-9D91-7224C49458BB}"/>
                <c:ext xmlns:c16="http://schemas.microsoft.com/office/drawing/2014/chart" uri="{C3380CC4-5D6E-409C-BE32-E72D297353CC}">
                  <c16:uniqueId val="{00000029-DFD5-4C9C-8CD5-E741EA2DC055}"/>
                </c:ext>
              </c:extLst>
            </c:dLbl>
            <c:dLbl>
              <c:idx val="40"/>
              <c:layout>
                <c:manualLayout>
                  <c:x val="0"/>
                  <c:y val="-5.8500925304989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D5-4C9C-8CD5-E741EA2DC055}"/>
                </c:ext>
              </c:extLst>
            </c:dLbl>
            <c:dLbl>
              <c:idx val="41"/>
              <c:delete val="1"/>
              <c:extLst>
                <c:ext xmlns:c15="http://schemas.microsoft.com/office/drawing/2012/chart" uri="{CE6537A1-D6FC-4f65-9D91-7224C49458BB}"/>
                <c:ext xmlns:c16="http://schemas.microsoft.com/office/drawing/2014/chart" uri="{C3380CC4-5D6E-409C-BE32-E72D297353CC}">
                  <c16:uniqueId val="{0000002B-DFD5-4C9C-8CD5-E741EA2DC055}"/>
                </c:ext>
              </c:extLst>
            </c:dLbl>
            <c:dLbl>
              <c:idx val="42"/>
              <c:delete val="1"/>
              <c:extLst>
                <c:ext xmlns:c15="http://schemas.microsoft.com/office/drawing/2012/chart" uri="{CE6537A1-D6FC-4f65-9D91-7224C49458BB}"/>
                <c:ext xmlns:c16="http://schemas.microsoft.com/office/drawing/2014/chart" uri="{C3380CC4-5D6E-409C-BE32-E72D297353CC}">
                  <c16:uniqueId val="{0000002C-DFD5-4C9C-8CD5-E741EA2DC055}"/>
                </c:ext>
              </c:extLst>
            </c:dLbl>
            <c:dLbl>
              <c:idx val="43"/>
              <c:delete val="1"/>
              <c:extLst>
                <c:ext xmlns:c15="http://schemas.microsoft.com/office/drawing/2012/chart" uri="{CE6537A1-D6FC-4f65-9D91-7224C49458BB}"/>
                <c:ext xmlns:c16="http://schemas.microsoft.com/office/drawing/2014/chart" uri="{C3380CC4-5D6E-409C-BE32-E72D297353CC}">
                  <c16:uniqueId val="{0000002D-DFD5-4C9C-8CD5-E741EA2DC055}"/>
                </c:ext>
              </c:extLst>
            </c:dLbl>
            <c:dLbl>
              <c:idx val="44"/>
              <c:delete val="1"/>
              <c:extLst>
                <c:ext xmlns:c15="http://schemas.microsoft.com/office/drawing/2012/chart" uri="{CE6537A1-D6FC-4f65-9D91-7224C49458BB}"/>
                <c:ext xmlns:c16="http://schemas.microsoft.com/office/drawing/2014/chart" uri="{C3380CC4-5D6E-409C-BE32-E72D297353CC}">
                  <c16:uniqueId val="{0000002E-DFD5-4C9C-8CD5-E741EA2DC055}"/>
                </c:ext>
              </c:extLst>
            </c:dLbl>
            <c:dLbl>
              <c:idx val="45"/>
              <c:delete val="1"/>
              <c:extLst>
                <c:ext xmlns:c15="http://schemas.microsoft.com/office/drawing/2012/chart" uri="{CE6537A1-D6FC-4f65-9D91-7224C49458BB}"/>
                <c:ext xmlns:c16="http://schemas.microsoft.com/office/drawing/2014/chart" uri="{C3380CC4-5D6E-409C-BE32-E72D297353CC}">
                  <c16:uniqueId val="{0000002F-DFD5-4C9C-8CD5-E741EA2DC055}"/>
                </c:ext>
              </c:extLst>
            </c:dLbl>
            <c:dLbl>
              <c:idx val="46"/>
              <c:layout>
                <c:manualLayout>
                  <c:x val="-8.9539063785732778E-17"/>
                  <c:y val="-6.09384638593644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D5-4C9C-8CD5-E741EA2DC055}"/>
                </c:ext>
              </c:extLst>
            </c:dLbl>
            <c:dLbl>
              <c:idx val="47"/>
              <c:delete val="1"/>
              <c:extLst>
                <c:ext xmlns:c15="http://schemas.microsoft.com/office/drawing/2012/chart" uri="{CE6537A1-D6FC-4f65-9D91-7224C49458BB}"/>
                <c:ext xmlns:c16="http://schemas.microsoft.com/office/drawing/2014/chart" uri="{C3380CC4-5D6E-409C-BE32-E72D297353CC}">
                  <c16:uniqueId val="{00000031-DFD5-4C9C-8CD5-E741EA2DC055}"/>
                </c:ext>
              </c:extLst>
            </c:dLbl>
            <c:dLbl>
              <c:idx val="48"/>
              <c:delete val="1"/>
              <c:extLst>
                <c:ext xmlns:c15="http://schemas.microsoft.com/office/drawing/2012/chart" uri="{CE6537A1-D6FC-4f65-9D91-7224C49458BB}"/>
                <c:ext xmlns:c16="http://schemas.microsoft.com/office/drawing/2014/chart" uri="{C3380CC4-5D6E-409C-BE32-E72D297353CC}">
                  <c16:uniqueId val="{00000032-DFD5-4C9C-8CD5-E741EA2DC055}"/>
                </c:ext>
              </c:extLst>
            </c:dLbl>
            <c:dLbl>
              <c:idx val="49"/>
              <c:delete val="1"/>
              <c:extLst>
                <c:ext xmlns:c15="http://schemas.microsoft.com/office/drawing/2012/chart" uri="{CE6537A1-D6FC-4f65-9D91-7224C49458BB}"/>
                <c:ext xmlns:c16="http://schemas.microsoft.com/office/drawing/2014/chart" uri="{C3380CC4-5D6E-409C-BE32-E72D297353CC}">
                  <c16:uniqueId val="{00000033-DFD5-4C9C-8CD5-E741EA2DC055}"/>
                </c:ext>
              </c:extLst>
            </c:dLbl>
            <c:dLbl>
              <c:idx val="50"/>
              <c:delete val="1"/>
              <c:extLst>
                <c:ext xmlns:c15="http://schemas.microsoft.com/office/drawing/2012/chart" uri="{CE6537A1-D6FC-4f65-9D91-7224C49458BB}"/>
                <c:ext xmlns:c16="http://schemas.microsoft.com/office/drawing/2014/chart" uri="{C3380CC4-5D6E-409C-BE32-E72D297353CC}">
                  <c16:uniqueId val="{00000034-DFD5-4C9C-8CD5-E741EA2DC055}"/>
                </c:ext>
              </c:extLst>
            </c:dLbl>
            <c:dLbl>
              <c:idx val="51"/>
              <c:layout>
                <c:manualLayout>
                  <c:x val="0"/>
                  <c:y val="-7.3126156631237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DFD5-4C9C-8CD5-E741EA2DC055}"/>
                </c:ext>
              </c:extLst>
            </c:dLbl>
            <c:dLbl>
              <c:idx val="52"/>
              <c:delete val="1"/>
              <c:extLst>
                <c:ext xmlns:c15="http://schemas.microsoft.com/office/drawing/2012/chart" uri="{CE6537A1-D6FC-4f65-9D91-7224C49458BB}"/>
                <c:ext xmlns:c16="http://schemas.microsoft.com/office/drawing/2014/chart" uri="{C3380CC4-5D6E-409C-BE32-E72D297353CC}">
                  <c16:uniqueId val="{00000036-DFD5-4C9C-8CD5-E741EA2DC055}"/>
                </c:ext>
              </c:extLst>
            </c:dLbl>
            <c:dLbl>
              <c:idx val="53"/>
              <c:delete val="1"/>
              <c:extLst>
                <c:ext xmlns:c15="http://schemas.microsoft.com/office/drawing/2012/chart" uri="{CE6537A1-D6FC-4f65-9D91-7224C49458BB}"/>
                <c:ext xmlns:c16="http://schemas.microsoft.com/office/drawing/2014/chart" uri="{C3380CC4-5D6E-409C-BE32-E72D297353CC}">
                  <c16:uniqueId val="{00000037-DFD5-4C9C-8CD5-E741EA2DC055}"/>
                </c:ext>
              </c:extLst>
            </c:dLbl>
            <c:dLbl>
              <c:idx val="54"/>
              <c:delete val="1"/>
              <c:extLst>
                <c:ext xmlns:c15="http://schemas.microsoft.com/office/drawing/2012/chart" uri="{CE6537A1-D6FC-4f65-9D91-7224C49458BB}"/>
                <c:ext xmlns:c16="http://schemas.microsoft.com/office/drawing/2014/chart" uri="{C3380CC4-5D6E-409C-BE32-E72D297353CC}">
                  <c16:uniqueId val="{00000038-DFD5-4C9C-8CD5-E741EA2DC055}"/>
                </c:ext>
              </c:extLst>
            </c:dLbl>
            <c:dLbl>
              <c:idx val="55"/>
              <c:layout>
                <c:manualLayout>
                  <c:x val="0"/>
                  <c:y val="-6.09384638593644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DFD5-4C9C-8CD5-E741EA2DC055}"/>
                </c:ext>
              </c:extLst>
            </c:dLbl>
            <c:dLbl>
              <c:idx val="56"/>
              <c:delete val="1"/>
              <c:extLst>
                <c:ext xmlns:c15="http://schemas.microsoft.com/office/drawing/2012/chart" uri="{CE6537A1-D6FC-4f65-9D91-7224C49458BB}"/>
                <c:ext xmlns:c16="http://schemas.microsoft.com/office/drawing/2014/chart" uri="{C3380CC4-5D6E-409C-BE32-E72D297353CC}">
                  <c16:uniqueId val="{0000003A-DFD5-4C9C-8CD5-E741EA2DC055}"/>
                </c:ext>
              </c:extLst>
            </c:dLbl>
            <c:dLbl>
              <c:idx val="57"/>
              <c:delete val="1"/>
              <c:extLst>
                <c:ext xmlns:c15="http://schemas.microsoft.com/office/drawing/2012/chart" uri="{CE6537A1-D6FC-4f65-9D91-7224C49458BB}"/>
                <c:ext xmlns:c16="http://schemas.microsoft.com/office/drawing/2014/chart" uri="{C3380CC4-5D6E-409C-BE32-E72D297353CC}">
                  <c16:uniqueId val="{0000003B-DFD5-4C9C-8CD5-E741EA2DC055}"/>
                </c:ext>
              </c:extLst>
            </c:dLbl>
            <c:dLbl>
              <c:idx val="58"/>
              <c:delete val="1"/>
              <c:extLst>
                <c:ext xmlns:c15="http://schemas.microsoft.com/office/drawing/2012/chart" uri="{CE6537A1-D6FC-4f65-9D91-7224C49458BB}"/>
                <c:ext xmlns:c16="http://schemas.microsoft.com/office/drawing/2014/chart" uri="{C3380CC4-5D6E-409C-BE32-E72D297353CC}">
                  <c16:uniqueId val="{0000003C-DFD5-4C9C-8CD5-E741EA2DC055}"/>
                </c:ext>
              </c:extLst>
            </c:dLbl>
            <c:dLbl>
              <c:idx val="59"/>
              <c:layout>
                <c:manualLayout>
                  <c:x val="1.2210013383903431E-3"/>
                  <c:y val="-9.9939080729357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DFD5-4C9C-8CD5-E741EA2DC055}"/>
                </c:ext>
              </c:extLst>
            </c:dLbl>
            <c:dLbl>
              <c:idx val="60"/>
              <c:delete val="1"/>
              <c:extLst>
                <c:ext xmlns:c15="http://schemas.microsoft.com/office/drawing/2012/chart" uri="{CE6537A1-D6FC-4f65-9D91-7224C49458BB}"/>
                <c:ext xmlns:c16="http://schemas.microsoft.com/office/drawing/2014/chart" uri="{C3380CC4-5D6E-409C-BE32-E72D297353CC}">
                  <c16:uniqueId val="{0000003E-DFD5-4C9C-8CD5-E741EA2DC055}"/>
                </c:ext>
              </c:extLst>
            </c:dLbl>
            <c:spPr>
              <a:noFill/>
              <a:ln>
                <a:noFill/>
              </a:ln>
              <a:effectLst/>
            </c:spPr>
            <c:txPr>
              <a:bodyPr wrap="square" lIns="38100" tIns="19050" rIns="38100" bIns="19050" anchor="ctr">
                <a:spAutoFit/>
              </a:bodyPr>
              <a:lstStyle/>
              <a:p>
                <a:pPr>
                  <a:defRPr b="1">
                    <a:solidFill>
                      <a:srgbClr val="C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'OAV model'!$EG$66:$EG$126</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'OAV model'!$CL$66:$CL$126</c:f>
              <c:numCache>
                <c:formatCode>0</c:formatCode>
                <c:ptCount val="61"/>
                <c:pt idx="0">
                  <c:v>1499.0641073582503</c:v>
                </c:pt>
                <c:pt idx="1">
                  <c:v>1525.3136233072596</c:v>
                </c:pt>
                <c:pt idx="2">
                  <c:v>1549.8005922398934</c:v>
                </c:pt>
                <c:pt idx="3">
                  <c:v>1575.3135224405005</c:v>
                </c:pt>
                <c:pt idx="4">
                  <c:v>1601.7457522193311</c:v>
                </c:pt>
                <c:pt idx="5">
                  <c:v>1629.0159045082335</c:v>
                </c:pt>
                <c:pt idx="6">
                  <c:v>1657.0623826082654</c:v>
                </c:pt>
                <c:pt idx="7">
                  <c:v>1685.8390779632075</c:v>
                </c:pt>
                <c:pt idx="8">
                  <c:v>1715.3120226443241</c:v>
                </c:pt>
                <c:pt idx="9">
                  <c:v>1745.4567782626591</c:v>
                </c:pt>
                <c:pt idx="10">
                  <c:v>1776.2563990118097</c:v>
                </c:pt>
                <c:pt idx="11">
                  <c:v>1807.6998423700072</c:v>
                </c:pt>
                <c:pt idx="12">
                  <c:v>1839.7807289013185</c:v>
                </c:pt>
                <c:pt idx="13">
                  <c:v>1872.4963743413452</c:v>
                </c:pt>
                <c:pt idx="14">
                  <c:v>1905.695093808032</c:v>
                </c:pt>
                <c:pt idx="15">
                  <c:v>1939.0235180274553</c:v>
                </c:pt>
                <c:pt idx="16">
                  <c:v>1972.6381306143262</c:v>
                </c:pt>
                <c:pt idx="17">
                  <c:v>2006.6587913132032</c:v>
                </c:pt>
                <c:pt idx="18">
                  <c:v>2041.1773614097333</c:v>
                </c:pt>
                <c:pt idx="19">
                  <c:v>2076.2643732941015</c:v>
                </c:pt>
                <c:pt idx="20">
                  <c:v>2111.9741816229175</c:v>
                </c:pt>
                <c:pt idx="21">
                  <c:v>2148.3489363180183</c:v>
                </c:pt>
                <c:pt idx="22">
                  <c:v>2185.4216419718487</c:v>
                </c:pt>
                <c:pt idx="23">
                  <c:v>2223.2185093327662</c:v>
                </c:pt>
                <c:pt idx="24">
                  <c:v>2261.7607587074185</c:v>
                </c:pt>
                <c:pt idx="25">
                  <c:v>2301.0659994501866</c:v>
                </c:pt>
                <c:pt idx="26">
                  <c:v>2341.1492819599903</c:v>
                </c:pt>
                <c:pt idx="27">
                  <c:v>2381.9984220561569</c:v>
                </c:pt>
                <c:pt idx="28">
                  <c:v>2423.5434473239802</c:v>
                </c:pt>
                <c:pt idx="29">
                  <c:v>2465.7490019771544</c:v>
                </c:pt>
                <c:pt idx="30">
                  <c:v>2508.6040606469996</c:v>
                </c:pt>
                <c:pt idx="31">
                  <c:v>2552.1143202241351</c:v>
                </c:pt>
                <c:pt idx="32">
                  <c:v>2596.2966211025837</c:v>
                </c:pt>
                <c:pt idx="33">
                  <c:v>2641.1749002028901</c:v>
                </c:pt>
                <c:pt idx="34">
                  <c:v>2686.777294792163</c:v>
                </c:pt>
                <c:pt idx="35">
                  <c:v>2733.1341061043427</c:v>
                </c:pt>
                <c:pt idx="36">
                  <c:v>2780.276401097904</c:v>
                </c:pt>
                <c:pt idx="37">
                  <c:v>2828.2350840335725</c:v>
                </c:pt>
                <c:pt idx="38">
                  <c:v>2877.0403105312325</c:v>
                </c:pt>
                <c:pt idx="39">
                  <c:v>2926.7211481818294</c:v>
                </c:pt>
                <c:pt idx="40">
                  <c:v>2977.301140583058</c:v>
                </c:pt>
                <c:pt idx="41">
                  <c:v>3028.7892798698285</c:v>
                </c:pt>
                <c:pt idx="42">
                  <c:v>3081.1875533736261</c:v>
                </c:pt>
                <c:pt idx="43">
                  <c:v>3134.4958618618884</c:v>
                </c:pt>
                <c:pt idx="44">
                  <c:v>3188.7150731513811</c:v>
                </c:pt>
                <c:pt idx="45">
                  <c:v>3243.8487746619271</c:v>
                </c:pt>
                <c:pt idx="46">
                  <c:v>3299.9041375503411</c:v>
                </c:pt>
                <c:pt idx="47">
                  <c:v>3356.892191769502</c:v>
                </c:pt>
                <c:pt idx="48">
                  <c:v>3414.8277267580875</c:v>
                </c:pt>
                <c:pt idx="49">
                  <c:v>3473.7289695884024</c:v>
                </c:pt>
                <c:pt idx="50">
                  <c:v>3533.6171459960224</c:v>
                </c:pt>
                <c:pt idx="51">
                  <c:v>3594.5159957388751</c:v>
                </c:pt>
                <c:pt idx="52">
                  <c:v>3656.4512890937567</c:v>
                </c:pt>
                <c:pt idx="53">
                  <c:v>3719.4496575044514</c:v>
                </c:pt>
                <c:pt idx="54">
                  <c:v>3783.5360506872698</c:v>
                </c:pt>
                <c:pt idx="55">
                  <c:v>3848.7327635795955</c:v>
                </c:pt>
                <c:pt idx="56">
                  <c:v>3915.059404434473</c:v>
                </c:pt>
                <c:pt idx="57">
                  <c:v>3982.5333787181694</c:v>
                </c:pt>
                <c:pt idx="58">
                  <c:v>4051.1706088967599</c:v>
                </c:pt>
                <c:pt idx="59">
                  <c:v>4120.9863129053292</c:v>
                </c:pt>
                <c:pt idx="60">
                  <c:v>4191.9957355051292</c:v>
                </c:pt>
              </c:numCache>
            </c:numRef>
          </c:val>
          <c:smooth val="0"/>
          <c:extLst>
            <c:ext xmlns:c16="http://schemas.microsoft.com/office/drawing/2014/chart" uri="{C3380CC4-5D6E-409C-BE32-E72D297353CC}">
              <c16:uniqueId val="{0000003F-DFD5-4C9C-8CD5-E741EA2DC055}"/>
            </c:ext>
          </c:extLst>
        </c:ser>
        <c:ser>
          <c:idx val="9"/>
          <c:order val="1"/>
          <c:tx>
            <c:v>Mites protected in brood</c:v>
          </c:tx>
          <c:spPr>
            <a:ln w="28575">
              <a:solidFill>
                <a:srgbClr val="C35D09"/>
              </a:solidFill>
              <a:prstDash val="sysDash"/>
            </a:ln>
          </c:spPr>
          <c:marker>
            <c:symbol val="none"/>
          </c:marker>
          <c:cat>
            <c:numRef>
              <c:f>'OAV model'!$EG$66:$EG$126</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'OAV model'!$DB$66:$DB$126</c:f>
              <c:numCache>
                <c:formatCode>0</c:formatCode>
                <c:ptCount val="61"/>
                <c:pt idx="0">
                  <c:v>858.68784527459934</c:v>
                </c:pt>
                <c:pt idx="1">
                  <c:v>879.36064621126275</c:v>
                </c:pt>
                <c:pt idx="2">
                  <c:v>898.04389766984593</c:v>
                </c:pt>
                <c:pt idx="3">
                  <c:v>915.36334810214009</c:v>
                </c:pt>
                <c:pt idx="4">
                  <c:v>931.79305261844684</c:v>
                </c:pt>
                <c:pt idx="5">
                  <c:v>947.69067479178466</c:v>
                </c:pt>
                <c:pt idx="6">
                  <c:v>963.3247743062584</c:v>
                </c:pt>
                <c:pt idx="7">
                  <c:v>978.89587762384463</c:v>
                </c:pt>
                <c:pt idx="8">
                  <c:v>994.55272842854265</c:v>
                </c:pt>
                <c:pt idx="9">
                  <c:v>1010.4048030981985</c:v>
                </c:pt>
                <c:pt idx="10">
                  <c:v>1026.5319341483339</c:v>
                </c:pt>
                <c:pt idx="11">
                  <c:v>1042.9916961475619</c:v>
                </c:pt>
                <c:pt idx="12">
                  <c:v>1059.825062076392</c:v>
                </c:pt>
                <c:pt idx="13">
                  <c:v>1078.5801270660832</c:v>
                </c:pt>
                <c:pt idx="14">
                  <c:v>1098.5551721975228</c:v>
                </c:pt>
                <c:pt idx="15">
                  <c:v>1119.2705159489562</c:v>
                </c:pt>
                <c:pt idx="16">
                  <c:v>1140.4088392427007</c:v>
                </c:pt>
                <c:pt idx="17">
                  <c:v>1161.7703073244506</c:v>
                </c:pt>
                <c:pt idx="18">
                  <c:v>1183.2389851086525</c:v>
                </c:pt>
                <c:pt idx="19">
                  <c:v>1204.7578497940949</c:v>
                </c:pt>
                <c:pt idx="20">
                  <c:v>1226.3103287728552</c:v>
                </c:pt>
                <c:pt idx="21">
                  <c:v>1247.9067731827545</c:v>
                </c:pt>
                <c:pt idx="22">
                  <c:v>1269.5746497880302</c:v>
                </c:pt>
                <c:pt idx="23">
                  <c:v>1291.3515209905604</c:v>
                </c:pt>
                <c:pt idx="24">
                  <c:v>1313.2801039108622</c:v>
                </c:pt>
                <c:pt idx="25">
                  <c:v>1335.4048695641081</c:v>
                </c:pt>
                <c:pt idx="26">
                  <c:v>1358.0245234032184</c:v>
                </c:pt>
                <c:pt idx="27">
                  <c:v>1381.2843446349373</c:v>
                </c:pt>
                <c:pt idx="28">
                  <c:v>1405.2317883268397</c:v>
                </c:pt>
                <c:pt idx="29">
                  <c:v>1429.8554232341935</c:v>
                </c:pt>
                <c:pt idx="30">
                  <c:v>1455.1116819651834</c:v>
                </c:pt>
                <c:pt idx="31">
                  <c:v>1480.9427765926748</c:v>
                </c:pt>
                <c:pt idx="32">
                  <c:v>1507.2882791959223</c:v>
                </c:pt>
                <c:pt idx="33">
                  <c:v>1534.0922200803782</c:v>
                </c:pt>
                <c:pt idx="34">
                  <c:v>1561.3070680107012</c:v>
                </c:pt>
                <c:pt idx="35">
                  <c:v>1588.8955892986651</c:v>
                </c:pt>
                <c:pt idx="36">
                  <c:v>1616.8313072447449</c:v>
                </c:pt>
                <c:pt idx="37">
                  <c:v>1645.0980781411217</c:v>
                </c:pt>
                <c:pt idx="38">
                  <c:v>1673.6891478558659</c:v>
                </c:pt>
                <c:pt idx="39">
                  <c:v>1702.6486533759144</c:v>
                </c:pt>
                <c:pt idx="40">
                  <c:v>1732.0398039704091</c:v>
                </c:pt>
                <c:pt idx="41">
                  <c:v>1761.9261954735764</c:v>
                </c:pt>
                <c:pt idx="42">
                  <c:v>1792.3618908569033</c:v>
                </c:pt>
                <c:pt idx="43">
                  <c:v>1823.3871738020587</c:v>
                </c:pt>
                <c:pt idx="44">
                  <c:v>1855.0278146354665</c:v>
                </c:pt>
                <c:pt idx="45">
                  <c:v>1887.2963658182077</c:v>
                </c:pt>
                <c:pt idx="46">
                  <c:v>1920.1944924058685</c:v>
                </c:pt>
                <c:pt idx="47">
                  <c:v>1953.7156907550129</c:v>
                </c:pt>
                <c:pt idx="48">
                  <c:v>1987.8479933394588</c:v>
                </c:pt>
                <c:pt idx="49">
                  <c:v>2022.5764266691192</c:v>
                </c:pt>
                <c:pt idx="50">
                  <c:v>2057.8851037587833</c:v>
                </c:pt>
                <c:pt idx="51">
                  <c:v>2093.7589078252204</c:v>
                </c:pt>
                <c:pt idx="52">
                  <c:v>2130.1919326717634</c:v>
                </c:pt>
                <c:pt idx="53">
                  <c:v>2167.1895773674114</c:v>
                </c:pt>
                <c:pt idx="54">
                  <c:v>2204.767257138908</c:v>
                </c:pt>
                <c:pt idx="55">
                  <c:v>2242.9476055126802</c:v>
                </c:pt>
                <c:pt idx="56">
                  <c:v>2281.7572995546193</c:v>
                </c:pt>
                <c:pt idx="57">
                  <c:v>2321.2241422432726</c:v>
                </c:pt>
                <c:pt idx="58">
                  <c:v>2361.3747114660728</c:v>
                </c:pt>
                <c:pt idx="59">
                  <c:v>2402.2326813072286</c:v>
                </c:pt>
                <c:pt idx="60">
                  <c:v>2443.8178002085801</c:v>
                </c:pt>
              </c:numCache>
            </c:numRef>
          </c:val>
          <c:smooth val="0"/>
          <c:extLst>
            <c:ext xmlns:c16="http://schemas.microsoft.com/office/drawing/2014/chart" uri="{C3380CC4-5D6E-409C-BE32-E72D297353CC}">
              <c16:uniqueId val="{00000040-DFD5-4C9C-8CD5-E741EA2DC055}"/>
            </c:ext>
          </c:extLst>
        </c:ser>
        <c:ser>
          <c:idx val="4"/>
          <c:order val="4"/>
          <c:tx>
            <c:v>Mite pop labels</c:v>
          </c:tx>
          <c:marker>
            <c:symbol val="none"/>
          </c:marker>
          <c:cat>
            <c:numRef>
              <c:f>'OAV model'!$EG$66:$EG$126</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'OAV model'!$DK$66:$DK$126</c:f>
              <c:numCache>
                <c:formatCode>d\-mmm</c:formatCode>
                <c:ptCount val="61"/>
                <c:pt idx="0" formatCode="0">
                  <c:v>1499.0641073582503</c:v>
                </c:pt>
                <c:pt idx="6" formatCode="0">
                  <c:v>1657.0623826082654</c:v>
                </c:pt>
                <c:pt idx="12" formatCode="0">
                  <c:v>1839.7807289013185</c:v>
                </c:pt>
                <c:pt idx="18" formatCode="0">
                  <c:v>2041.1773614097333</c:v>
                </c:pt>
                <c:pt idx="24" formatCode="0">
                  <c:v>2261.7607587074185</c:v>
                </c:pt>
                <c:pt idx="30" formatCode="0">
                  <c:v>2508.6040606469996</c:v>
                </c:pt>
                <c:pt idx="36" formatCode="0">
                  <c:v>2780.276401097904</c:v>
                </c:pt>
                <c:pt idx="42" formatCode="0">
                  <c:v>3081.1875533736261</c:v>
                </c:pt>
                <c:pt idx="48" formatCode="0">
                  <c:v>3414.8277267580875</c:v>
                </c:pt>
                <c:pt idx="54" formatCode="0">
                  <c:v>3783.5360506872698</c:v>
                </c:pt>
                <c:pt idx="60" formatCode="0">
                  <c:v>4191.9957355051292</c:v>
                </c:pt>
              </c:numCache>
            </c:numRef>
          </c:val>
          <c:smooth val="0"/>
          <c:extLst>
            <c:ext xmlns:c16="http://schemas.microsoft.com/office/drawing/2014/chart" uri="{C3380CC4-5D6E-409C-BE32-E72D297353CC}">
              <c16:uniqueId val="{00000041-DFD5-4C9C-8CD5-E741EA2DC055}"/>
            </c:ext>
          </c:extLst>
        </c:ser>
        <c:ser>
          <c:idx val="2"/>
          <c:order val="5"/>
          <c:tx>
            <c:v>OAV application</c:v>
          </c:tx>
          <c:spPr>
            <a:ln w="28575">
              <a:noFill/>
            </a:ln>
          </c:spPr>
          <c:marker>
            <c:symbol val="triangle"/>
            <c:size val="8"/>
            <c:spPr>
              <a:solidFill>
                <a:srgbClr val="FF0000"/>
              </a:solidFill>
              <a:ln>
                <a:noFill/>
              </a:ln>
            </c:spPr>
          </c:marker>
          <c:cat>
            <c:numRef>
              <c:f>'OAV model'!$EG$66:$EG$126</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'OAV model'!$DR$66:$DR$126</c:f>
              <c:numCache>
                <c:formatCode>0</c:formatCode>
                <c:ptCount val="61"/>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42-DFD5-4C9C-8CD5-E741EA2DC055}"/>
            </c:ext>
          </c:extLst>
        </c:ser>
        <c:dLbls>
          <c:showLegendKey val="0"/>
          <c:showVal val="0"/>
          <c:showCatName val="0"/>
          <c:showSerName val="0"/>
          <c:showPercent val="0"/>
          <c:showBubbleSize val="0"/>
        </c:dLbls>
        <c:marker val="1"/>
        <c:smooth val="0"/>
        <c:axId val="62124496"/>
        <c:axId val="62124976"/>
        <c:extLst/>
      </c:lineChart>
      <c:lineChart>
        <c:grouping val="standard"/>
        <c:varyColors val="0"/>
        <c:ser>
          <c:idx val="6"/>
          <c:order val="6"/>
          <c:tx>
            <c:v>Mite wash count</c:v>
          </c:tx>
          <c:spPr>
            <a:ln w="28575">
              <a:solidFill>
                <a:schemeClr val="tx1"/>
              </a:solidFill>
            </a:ln>
          </c:spPr>
          <c:marker>
            <c:symbol val="none"/>
          </c:marker>
          <c:dPt>
            <c:idx val="45"/>
            <c:bubble3D val="0"/>
            <c:extLst>
              <c:ext xmlns:c16="http://schemas.microsoft.com/office/drawing/2014/chart" uri="{C3380CC4-5D6E-409C-BE32-E72D297353CC}">
                <c16:uniqueId val="{00000043-DFD5-4C9C-8CD5-E741EA2DC055}"/>
              </c:ext>
            </c:extLst>
          </c:dPt>
          <c:dPt>
            <c:idx val="50"/>
            <c:bubble3D val="0"/>
            <c:spPr>
              <a:ln w="28575">
                <a:noFill/>
              </a:ln>
            </c:spPr>
            <c:extLst>
              <c:ext xmlns:c16="http://schemas.microsoft.com/office/drawing/2014/chart" uri="{C3380CC4-5D6E-409C-BE32-E72D297353CC}">
                <c16:uniqueId val="{00000045-DFD5-4C9C-8CD5-E741EA2DC055}"/>
              </c:ext>
            </c:extLst>
          </c:dPt>
          <c:dLbls>
            <c:dLbl>
              <c:idx val="0"/>
              <c:layout>
                <c:manualLayout>
                  <c:x val="-1.5873017399076799E-2"/>
                  <c:y val="-0.53911967191494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DFD5-4C9C-8CD5-E741EA2DC055}"/>
                </c:ext>
              </c:extLst>
            </c:dLbl>
            <c:dLbl>
              <c:idx val="8"/>
              <c:layout>
                <c:manualLayout>
                  <c:x val="0"/>
                  <c:y val="-0.543189657336313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DFD5-4C9C-8CD5-E741EA2DC055}"/>
                </c:ext>
              </c:extLst>
            </c:dLbl>
            <c:dLbl>
              <c:idx val="18"/>
              <c:layout>
                <c:manualLayout>
                  <c:x val="-2.4420026767810444E-3"/>
                  <c:y val="-0.538129567776712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DFD5-4C9C-8CD5-E741EA2DC055}"/>
                </c:ext>
              </c:extLst>
            </c:dLbl>
            <c:dLbl>
              <c:idx val="28"/>
              <c:layout>
                <c:manualLayout>
                  <c:x val="-1.8315020075857922E-2"/>
                  <c:y val="-0.543189657336313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DFD5-4C9C-8CD5-E741EA2DC055}"/>
                </c:ext>
              </c:extLst>
            </c:dLbl>
            <c:dLbl>
              <c:idx val="38"/>
              <c:layout>
                <c:manualLayout>
                  <c:x val="3.663004015171477E-3"/>
                  <c:y val="-0.542419687015531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DFD5-4C9C-8CD5-E741EA2DC055}"/>
                </c:ext>
              </c:extLst>
            </c:dLbl>
            <c:dLbl>
              <c:idx val="49"/>
              <c:layout>
                <c:manualLayout>
                  <c:x val="-8.9539063785732778E-17"/>
                  <c:y val="-0.542639621616861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DFD5-4C9C-8CD5-E741EA2DC055}"/>
                </c:ext>
              </c:extLst>
            </c:dLbl>
            <c:dLbl>
              <c:idx val="50"/>
              <c:delete val="1"/>
              <c:extLst>
                <c:ext xmlns:c15="http://schemas.microsoft.com/office/drawing/2012/chart" uri="{CE6537A1-D6FC-4f65-9D91-7224C49458BB}"/>
                <c:ext xmlns:c16="http://schemas.microsoft.com/office/drawing/2014/chart" uri="{C3380CC4-5D6E-409C-BE32-E72D297353CC}">
                  <c16:uniqueId val="{00000045-DFD5-4C9C-8CD5-E741EA2DC055}"/>
                </c:ext>
              </c:extLst>
            </c:dLbl>
            <c:dLbl>
              <c:idx val="60"/>
              <c:layout>
                <c:manualLayout>
                  <c:x val="-7.3260080303431327E-3"/>
                  <c:y val="-0.54098951445850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DFD5-4C9C-8CD5-E741EA2DC055}"/>
                </c:ext>
              </c:extLst>
            </c:dLbl>
            <c:spPr>
              <a:solidFill>
                <a:schemeClr val="bg1"/>
              </a:solidFill>
              <a:ln>
                <a:solidFill>
                  <a:srgbClr val="00B0F0"/>
                </a:solidFill>
              </a:ln>
              <a:effectLst/>
            </c:spPr>
            <c:txPr>
              <a:bodyPr wrap="square" lIns="38100" tIns="19050" rIns="38100" bIns="19050" anchor="ctr">
                <a:spAutoFit/>
              </a:bodyPr>
              <a:lstStyle/>
              <a:p>
                <a:pPr>
                  <a:defRPr>
                    <a:solidFill>
                      <a:srgbClr val="00B0F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'OAV model'!$CJ$66:$CJ$126</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'OAV model'!$DH$66:$DH$126</c:f>
              <c:numCache>
                <c:formatCode>0</c:formatCode>
                <c:ptCount val="61"/>
                <c:pt idx="0">
                  <c:v>6.1453623009256084</c:v>
                </c:pt>
                <c:pt idx="8">
                  <c:v>6.9442190397888961</c:v>
                </c:pt>
                <c:pt idx="18">
                  <c:v>8.2527455536375083</c:v>
                </c:pt>
                <c:pt idx="28">
                  <c:v>9.8037367158474744</c:v>
                </c:pt>
                <c:pt idx="38">
                  <c:v>11.582798619506244</c:v>
                </c:pt>
                <c:pt idx="49">
                  <c:v>13.967275816473068</c:v>
                </c:pt>
                <c:pt idx="50">
                  <c:v>14.203834125135012</c:v>
                </c:pt>
                <c:pt idx="60">
                  <c:v>16.827318798133312</c:v>
                </c:pt>
              </c:numCache>
            </c:numRef>
          </c:val>
          <c:smooth val="0"/>
          <c:extLst>
            <c:ext xmlns:c16="http://schemas.microsoft.com/office/drawing/2014/chart" uri="{C3380CC4-5D6E-409C-BE32-E72D297353CC}">
              <c16:uniqueId val="{0000004D-DFD5-4C9C-8CD5-E741EA2DC055}"/>
            </c:ext>
          </c:extLst>
        </c:ser>
        <c:ser>
          <c:idx val="12"/>
          <c:order val="7"/>
          <c:tx>
            <c:v>Mites on adult bees</c:v>
          </c:tx>
          <c:spPr>
            <a:ln w="38100">
              <a:solidFill>
                <a:srgbClr val="00B050"/>
              </a:solidFill>
              <a:prstDash val="sysDot"/>
            </a:ln>
          </c:spPr>
          <c:marker>
            <c:symbol val="none"/>
          </c:marker>
          <c:cat>
            <c:numRef>
              <c:f>'OAV model'!$CJ$66:$CJ$126</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'OAV model'!$CU$66:$CU$126</c:f>
              <c:numCache>
                <c:formatCode>0</c:formatCode>
                <c:ptCount val="61"/>
                <c:pt idx="0">
                  <c:v>701.59732825385072</c:v>
                </c:pt>
                <c:pt idx="1">
                  <c:v>702.32712010578382</c:v>
                </c:pt>
                <c:pt idx="2">
                  <c:v>707.02953861773995</c:v>
                </c:pt>
                <c:pt idx="3">
                  <c:v>714.74259146692111</c:v>
                </c:pt>
                <c:pt idx="4">
                  <c:v>724.73445251157534</c:v>
                </c:pt>
                <c:pt idx="5">
                  <c:v>736.45060882449843</c:v>
                </c:pt>
                <c:pt idx="6">
                  <c:v>749.4729321948912</c:v>
                </c:pt>
                <c:pt idx="7">
                  <c:v>763.48800980603278</c:v>
                </c:pt>
                <c:pt idx="8">
                  <c:v>778.26266159718227</c:v>
                </c:pt>
                <c:pt idx="9">
                  <c:v>793.62503311873104</c:v>
                </c:pt>
                <c:pt idx="10">
                  <c:v>809.45001161909227</c:v>
                </c:pt>
                <c:pt idx="11">
                  <c:v>825.64799234173188</c:v>
                </c:pt>
                <c:pt idx="12">
                  <c:v>842.15623922168925</c:v>
                </c:pt>
                <c:pt idx="13">
                  <c:v>858.93225310340392</c:v>
                </c:pt>
                <c:pt idx="14">
                  <c:v>873.82152793699765</c:v>
                </c:pt>
                <c:pt idx="15">
                  <c:v>887.71608769675572</c:v>
                </c:pt>
                <c:pt idx="16">
                  <c:v>901.23983559518831</c:v>
                </c:pt>
                <c:pt idx="17">
                  <c:v>914.81925493719655</c:v>
                </c:pt>
                <c:pt idx="18">
                  <c:v>928.73678126851223</c:v>
                </c:pt>
                <c:pt idx="19">
                  <c:v>943.17092041571527</c:v>
                </c:pt>
                <c:pt idx="20">
                  <c:v>958.2262521660432</c:v>
                </c:pt>
                <c:pt idx="21">
                  <c:v>973.95573583540909</c:v>
                </c:pt>
                <c:pt idx="22">
                  <c:v>990.37717446338922</c:v>
                </c:pt>
                <c:pt idx="23">
                  <c:v>1007.4852620509425</c:v>
                </c:pt>
                <c:pt idx="24">
                  <c:v>1025.2603045272895</c:v>
                </c:pt>
                <c:pt idx="25">
                  <c:v>1043.6744477890643</c:v>
                </c:pt>
                <c:pt idx="26">
                  <c:v>1062.6960479549798</c:v>
                </c:pt>
                <c:pt idx="27">
                  <c:v>1081.9360170596431</c:v>
                </c:pt>
                <c:pt idx="28">
                  <c:v>1101.2014249783635</c:v>
                </c:pt>
                <c:pt idx="29">
                  <c:v>1120.4270532397113</c:v>
                </c:pt>
                <c:pt idx="30">
                  <c:v>1139.6269999781234</c:v>
                </c:pt>
                <c:pt idx="31">
                  <c:v>1158.861029292219</c:v>
                </c:pt>
                <c:pt idx="32">
                  <c:v>1178.2116769746747</c:v>
                </c:pt>
                <c:pt idx="33">
                  <c:v>1197.7691286110573</c:v>
                </c:pt>
                <c:pt idx="34">
                  <c:v>1217.6216485284406</c:v>
                </c:pt>
                <c:pt idx="35">
                  <c:v>1237.849915433057</c:v>
                </c:pt>
                <c:pt idx="36">
                  <c:v>1258.5240563049822</c:v>
                </c:pt>
                <c:pt idx="37">
                  <c:v>1279.7024977090998</c:v>
                </c:pt>
                <c:pt idx="38">
                  <c:v>1301.4319988931829</c:v>
                </c:pt>
                <c:pt idx="39">
                  <c:v>1323.7484136578564</c:v>
                </c:pt>
                <c:pt idx="40">
                  <c:v>1346.6180657809352</c:v>
                </c:pt>
                <c:pt idx="41">
                  <c:v>1369.9789646164515</c:v>
                </c:pt>
                <c:pt idx="42">
                  <c:v>1393.7656087219916</c:v>
                </c:pt>
                <c:pt idx="43">
                  <c:v>1417.9227048761459</c:v>
                </c:pt>
                <c:pt idx="44">
                  <c:v>1442.4116020919341</c:v>
                </c:pt>
                <c:pt idx="45">
                  <c:v>1467.2121165394556</c:v>
                </c:pt>
                <c:pt idx="46">
                  <c:v>1492.3216025123359</c:v>
                </c:pt>
                <c:pt idx="47">
                  <c:v>1517.7525299317438</c:v>
                </c:pt>
                <c:pt idx="48">
                  <c:v>1543.5294022576738</c:v>
                </c:pt>
                <c:pt idx="49">
                  <c:v>1569.6855462018575</c:v>
                </c:pt>
                <c:pt idx="50">
                  <c:v>1596.2600933112076</c:v>
                </c:pt>
                <c:pt idx="51">
                  <c:v>1623.2953285868587</c:v>
                </c:pt>
                <c:pt idx="52">
                  <c:v>1650.8344843715677</c:v>
                </c:pt>
                <c:pt idx="53">
                  <c:v>1678.9099691928338</c:v>
                </c:pt>
                <c:pt idx="54">
                  <c:v>1707.53991670716</c:v>
                </c:pt>
                <c:pt idx="55">
                  <c:v>1736.7293066264756</c:v>
                </c:pt>
                <c:pt idx="56">
                  <c:v>1766.4732515917092</c:v>
                </c:pt>
                <c:pt idx="57">
                  <c:v>1796.7609691640625</c:v>
                </c:pt>
                <c:pt idx="58">
                  <c:v>1827.5795841041272</c:v>
                </c:pt>
                <c:pt idx="59">
                  <c:v>1858.91731952346</c:v>
                </c:pt>
                <c:pt idx="60">
                  <c:v>1890.7658996970363</c:v>
                </c:pt>
              </c:numCache>
            </c:numRef>
          </c:val>
          <c:smooth val="0"/>
          <c:extLst>
            <c:ext xmlns:c16="http://schemas.microsoft.com/office/drawing/2014/chart" uri="{C3380CC4-5D6E-409C-BE32-E72D297353CC}">
              <c16:uniqueId val="{0000004E-DFD5-4C9C-8CD5-E741EA2DC055}"/>
            </c:ext>
          </c:extLst>
        </c:ser>
        <c:dLbls>
          <c:showLegendKey val="0"/>
          <c:showVal val="0"/>
          <c:showCatName val="0"/>
          <c:showSerName val="0"/>
          <c:showPercent val="0"/>
          <c:showBubbleSize val="0"/>
        </c:dLbls>
        <c:marker val="1"/>
        <c:smooth val="0"/>
        <c:axId val="385048032"/>
        <c:axId val="385026432"/>
        <c:extLst/>
      </c:lineChart>
      <c:catAx>
        <c:axId val="62124496"/>
        <c:scaling>
          <c:orientation val="minMax"/>
        </c:scaling>
        <c:delete val="0"/>
        <c:axPos val="b"/>
        <c:title>
          <c:tx>
            <c:rich>
              <a:bodyPr/>
              <a:lstStyle/>
              <a:p>
                <a:pPr>
                  <a:defRPr sz="1000"/>
                </a:pPr>
                <a:r>
                  <a:rPr lang="en-US" sz="1100" b="0">
                    <a:solidFill>
                      <a:schemeClr val="accent6">
                        <a:lumMod val="75000"/>
                      </a:schemeClr>
                    </a:solidFill>
                  </a:rPr>
                  <a:t>Summer days above </a:t>
                </a:r>
                <a:r>
                  <a:rPr lang="en-US" sz="1400">
                    <a:solidFill>
                      <a:schemeClr val="accent6">
                        <a:lumMod val="75000"/>
                      </a:schemeClr>
                    </a:solidFill>
                    <a:sym typeface="Wingdings 3" panose="05040102010807070707" pitchFamily="18" charset="2"/>
                  </a:rPr>
                  <a:t></a:t>
                </a:r>
                <a:r>
                  <a:rPr lang="en-US" sz="1400">
                    <a:solidFill>
                      <a:schemeClr val="accent6">
                        <a:lumMod val="75000"/>
                      </a:schemeClr>
                    </a:solidFill>
                  </a:rPr>
                  <a:t> </a:t>
                </a:r>
                <a:r>
                  <a:rPr lang="en-US" sz="1100">
                    <a:solidFill>
                      <a:schemeClr val="accent6">
                        <a:lumMod val="75000"/>
                      </a:schemeClr>
                    </a:solidFill>
                  </a:rPr>
                  <a:t>   </a:t>
                </a:r>
                <a:r>
                  <a:rPr lang="en-US" sz="1100"/>
                  <a:t>Fall dates &amp; colony condition below </a:t>
                </a:r>
                <a:r>
                  <a:rPr lang="en-US" sz="1400" b="1" i="0" u="none" strike="noStrike" kern="1200" baseline="0">
                    <a:solidFill>
                      <a:sysClr val="windowText" lastClr="000000"/>
                    </a:solidFill>
                    <a:sym typeface="Wingdings 3" panose="05040102010807070707" pitchFamily="18" charset="2"/>
                  </a:rPr>
                  <a:t></a:t>
                </a:r>
                <a:r>
                  <a:rPr lang="en-US" sz="1400" b="1" i="0" u="none" strike="noStrike" kern="1200" baseline="0">
                    <a:solidFill>
                      <a:sysClr val="windowText" lastClr="000000"/>
                    </a:solidFill>
                  </a:rPr>
                  <a:t> </a:t>
                </a:r>
                <a:endParaRPr lang="en-US" sz="1400"/>
              </a:p>
            </c:rich>
          </c:tx>
          <c:layout>
            <c:manualLayout>
              <c:xMode val="edge"/>
              <c:yMode val="edge"/>
              <c:x val="0.36286054270721374"/>
              <c:y val="0.79972952918654927"/>
            </c:manualLayout>
          </c:layout>
          <c:overlay val="0"/>
        </c:title>
        <c:numFmt formatCode="#,##0" sourceLinked="0"/>
        <c:majorTickMark val="none"/>
        <c:minorTickMark val="none"/>
        <c:tickLblPos val="nextTo"/>
        <c:spPr>
          <a:noFill/>
          <a:ln w="9525" cap="flat" cmpd="sng" algn="ctr">
            <a:noFill/>
            <a:round/>
          </a:ln>
          <a:effectLst/>
        </c:spPr>
        <c:txPr>
          <a:bodyPr rot="-2700000" spcFirstLastPara="1" vertOverflow="ellipsis" vert="horz" wrap="square" anchor="ctr" anchorCtr="1"/>
          <a:lstStyle/>
          <a:p>
            <a:pPr>
              <a:defRPr sz="900" b="0" i="0" u="none" strike="noStrike" kern="1200" baseline="0">
                <a:solidFill>
                  <a:schemeClr val="accent6">
                    <a:lumMod val="75000"/>
                  </a:schemeClr>
                </a:solidFill>
                <a:latin typeface="+mn-lt"/>
                <a:ea typeface="+mn-ea"/>
                <a:cs typeface="+mn-cs"/>
              </a:defRPr>
            </a:pPr>
            <a:endParaRPr lang="en-US"/>
          </a:p>
        </c:txPr>
        <c:crossAx val="62124976"/>
        <c:crosses val="autoZero"/>
        <c:auto val="1"/>
        <c:lblAlgn val="ctr"/>
        <c:lblOffset val="100"/>
        <c:noMultiLvlLbl val="0"/>
      </c:catAx>
      <c:valAx>
        <c:axId val="62124976"/>
        <c:scaling>
          <c:orientation val="minMax"/>
          <c:max val="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sz="1200" b="1">
                    <a:solidFill>
                      <a:srgbClr val="C00000"/>
                    </a:solidFill>
                  </a:rPr>
                  <a:t>Mite population</a:t>
                </a:r>
                <a:r>
                  <a:rPr lang="en-US" sz="1200"/>
                  <a:t> </a:t>
                </a:r>
              </a:p>
            </c:rich>
          </c:tx>
          <c:layout>
            <c:manualLayout>
              <c:xMode val="edge"/>
              <c:yMode val="edge"/>
              <c:x val="9.1906789719245641E-3"/>
              <c:y val="0.34929716358801072"/>
            </c:manualLayout>
          </c:layout>
          <c:overlay val="0"/>
          <c:spPr>
            <a:noFill/>
            <a:ln>
              <a:noFill/>
            </a:ln>
            <a:effectLst/>
          </c:sp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62124496"/>
        <c:crosses val="autoZero"/>
        <c:crossBetween val="between"/>
      </c:valAx>
      <c:valAx>
        <c:axId val="385026432"/>
        <c:scaling>
          <c:orientation val="minMax"/>
          <c:max val="10"/>
        </c:scaling>
        <c:delete val="1"/>
        <c:axPos val="r"/>
        <c:title>
          <c:tx>
            <c:rich>
              <a:bodyPr rot="0" spcFirstLastPara="1" vertOverflow="ellipsis" vert="horz" wrap="square" anchor="ctr" anchorCtr="1"/>
              <a:lstStyle/>
              <a:p>
                <a:pPr>
                  <a:defRPr sz="1200" b="0" i="0" u="none" strike="noStrike" kern="1200" baseline="0">
                    <a:solidFill>
                      <a:srgbClr val="00B0F0"/>
                    </a:solidFill>
                    <a:latin typeface="+mn-lt"/>
                    <a:ea typeface="+mn-ea"/>
                    <a:cs typeface="+mn-cs"/>
                  </a:defRPr>
                </a:pPr>
                <a:r>
                  <a:rPr lang="en-US" sz="1200">
                    <a:solidFill>
                      <a:srgbClr val="00B0F0"/>
                    </a:solidFill>
                  </a:rPr>
                  <a:t>Expected</a:t>
                </a:r>
                <a:r>
                  <a:rPr lang="en-US" sz="1200" baseline="0">
                    <a:solidFill>
                      <a:srgbClr val="00B0F0"/>
                    </a:solidFill>
                  </a:rPr>
                  <a:t> mit</a:t>
                </a:r>
                <a:r>
                  <a:rPr lang="en-US" sz="1200">
                    <a:solidFill>
                      <a:srgbClr val="00B0F0"/>
                    </a:solidFill>
                  </a:rPr>
                  <a:t>e wash count from </a:t>
                </a:r>
              </a:p>
              <a:p>
                <a:pPr>
                  <a:defRPr sz="1200" b="0" i="0" u="none" strike="noStrike" kern="1200" baseline="0">
                    <a:solidFill>
                      <a:srgbClr val="00B0F0"/>
                    </a:solidFill>
                    <a:latin typeface="+mn-lt"/>
                    <a:ea typeface="+mn-ea"/>
                    <a:cs typeface="+mn-cs"/>
                  </a:defRPr>
                </a:pPr>
                <a:r>
                  <a:rPr lang="en-US" sz="1200">
                    <a:solidFill>
                      <a:srgbClr val="00B0F0"/>
                    </a:solidFill>
                  </a:rPr>
                  <a:t>a half cup of bees</a:t>
                </a:r>
              </a:p>
            </c:rich>
          </c:tx>
          <c:layout>
            <c:manualLayout>
              <c:xMode val="edge"/>
              <c:yMode val="edge"/>
              <c:x val="5.1590863794993301E-2"/>
              <c:y val="5.7057211524989368E-2"/>
            </c:manualLayout>
          </c:layout>
          <c:overlay val="0"/>
          <c:spPr>
            <a:solidFill>
              <a:schemeClr val="bg1"/>
            </a:solidFill>
            <a:ln>
              <a:noFill/>
            </a:ln>
            <a:effectLst/>
          </c:spPr>
        </c:title>
        <c:numFmt formatCode="0" sourceLinked="1"/>
        <c:majorTickMark val="out"/>
        <c:minorTickMark val="none"/>
        <c:tickLblPos val="nextTo"/>
        <c:crossAx val="385048032"/>
        <c:crosses val="max"/>
        <c:crossBetween val="between"/>
      </c:valAx>
      <c:catAx>
        <c:axId val="385048032"/>
        <c:scaling>
          <c:orientation val="minMax"/>
        </c:scaling>
        <c:delete val="1"/>
        <c:axPos val="b"/>
        <c:numFmt formatCode="0" sourceLinked="1"/>
        <c:majorTickMark val="out"/>
        <c:minorTickMark val="none"/>
        <c:tickLblPos val="nextTo"/>
        <c:crossAx val="385026432"/>
        <c:crosses val="autoZero"/>
        <c:auto val="1"/>
        <c:lblAlgn val="ctr"/>
        <c:lblOffset val="100"/>
        <c:noMultiLvlLbl val="0"/>
      </c:catAx>
      <c:spPr>
        <a:noFill/>
        <a:ln>
          <a:noFill/>
        </a:ln>
        <a:effectLst/>
      </c:spPr>
    </c:plotArea>
    <c:legend>
      <c:legendPos val="l"/>
      <c:legendEntry>
        <c:idx val="0"/>
        <c:delete val="1"/>
      </c:legendEntry>
      <c:legendEntry>
        <c:idx val="1"/>
        <c:delete val="1"/>
      </c:legendEntry>
      <c:legendEntry>
        <c:idx val="4"/>
        <c:delete val="1"/>
      </c:legendEntry>
      <c:legendEntry>
        <c:idx val="5"/>
        <c:delete val="1"/>
      </c:legendEntry>
      <c:legendEntry>
        <c:idx val="6"/>
        <c:delete val="1"/>
      </c:legendEntry>
      <c:layout>
        <c:manualLayout>
          <c:xMode val="edge"/>
          <c:yMode val="edge"/>
          <c:x val="0.76923084318602897"/>
          <c:y val="2.5503050596512845E-2"/>
          <c:w val="0.21853530025432399"/>
          <c:h val="0.11964282939489695"/>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511099</xdr:colOff>
      <xdr:row>3</xdr:row>
      <xdr:rowOff>87119</xdr:rowOff>
    </xdr:from>
    <xdr:to>
      <xdr:col>66</xdr:col>
      <xdr:colOff>52271</xdr:colOff>
      <xdr:row>33</xdr:row>
      <xdr:rowOff>638871</xdr:rowOff>
    </xdr:to>
    <xdr:graphicFrame macro="">
      <xdr:nvGraphicFramePr>
        <xdr:cNvPr id="2" name="Chart 4">
          <a:extLst>
            <a:ext uri="{FF2B5EF4-FFF2-40B4-BE49-F238E27FC236}">
              <a16:creationId xmlns:a16="http://schemas.microsoft.com/office/drawing/2014/main" id="{2406648E-EEC1-4AD2-923D-8878E7DBE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68</xdr:col>
      <xdr:colOff>65514</xdr:colOff>
      <xdr:row>9</xdr:row>
      <xdr:rowOff>151236</xdr:rowOff>
    </xdr:from>
    <xdr:to>
      <xdr:col>84</xdr:col>
      <xdr:colOff>309563</xdr:colOff>
      <xdr:row>37</xdr:row>
      <xdr:rowOff>17424</xdr:rowOff>
    </xdr:to>
    <xdr:sp macro="" textlink="">
      <xdr:nvSpPr>
        <xdr:cNvPr id="3" name="TextBox 2">
          <a:extLst>
            <a:ext uri="{FF2B5EF4-FFF2-40B4-BE49-F238E27FC236}">
              <a16:creationId xmlns:a16="http://schemas.microsoft.com/office/drawing/2014/main" id="{A8CB45AA-9CB0-476A-958B-F82FA2CF9913}"/>
            </a:ext>
          </a:extLst>
        </xdr:cNvPr>
        <xdr:cNvSpPr txBox="1"/>
      </xdr:nvSpPr>
      <xdr:spPr>
        <a:xfrm>
          <a:off x="12364670" y="1651424"/>
          <a:ext cx="7435424" cy="500968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a:ea typeface="+mn-ea"/>
              <a:cs typeface="+mn-cs"/>
            </a:rPr>
            <a:t>Randy's Oxalic Vaporization Model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The purpose of this model is to help you plan OAV application strategies during either summer or fall.  It cannot predict absolute values, but by holding all other variables constant, it</a:t>
          </a:r>
          <a:r>
            <a:rPr lang="en-US" sz="1100" b="0" i="0" baseline="0">
              <a:effectLst/>
              <a:latin typeface="+mn-lt"/>
              <a:ea typeface="+mn-ea"/>
              <a:cs typeface="+mn-cs"/>
            </a:rPr>
            <a:t> allows you to </a:t>
          </a:r>
          <a:r>
            <a:rPr lang="en-US" sz="1100" b="1" i="1" baseline="0">
              <a:effectLst/>
              <a:latin typeface="+mn-lt"/>
              <a:ea typeface="+mn-ea"/>
              <a:cs typeface="+mn-cs"/>
            </a:rPr>
            <a:t>compare</a:t>
          </a:r>
          <a:r>
            <a:rPr lang="en-US" sz="1100" b="0" i="0" baseline="0">
              <a:effectLst/>
              <a:latin typeface="+mn-lt"/>
              <a:ea typeface="+mn-ea"/>
              <a:cs typeface="+mn-cs"/>
            </a:rPr>
            <a:t> the projected results of different OAV application schedules.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The model assumes "normal" rates of varroa reproductive success and population growth, and calculates the expected  percentages of the mite population in  the brood or on adult bees (and thus exposed to treatment), the number of  mites entering or exiting the brood each day, and the expected daily natural mite fall, as well as the number of mites killed by each inputted treatment.</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Instructions</a:t>
          </a:r>
          <a:endParaRPr lang="en-US"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Use the four yellow cells at the top of the page to input values.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1:  </a:t>
          </a:r>
          <a:r>
            <a:rPr lang="en-US" sz="1100" b="0" i="0" baseline="0">
              <a:effectLst/>
              <a:latin typeface="+mn-lt"/>
              <a:ea typeface="+mn-ea"/>
              <a:cs typeface="+mn-cs"/>
            </a:rPr>
            <a:t>Enter either "S" or "F" for a summer or fall simulation.  </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2:  </a:t>
          </a:r>
          <a:r>
            <a:rPr lang="en-US" sz="1100" b="0" i="0" baseline="0">
              <a:effectLst/>
              <a:latin typeface="+mn-lt"/>
              <a:ea typeface="+mn-ea"/>
              <a:cs typeface="+mn-cs"/>
            </a:rPr>
            <a:t>Then use the model to back-calculate the starting mite population to enter, based upon your </a:t>
          </a:r>
          <a:r>
            <a:rPr lang="en-US" sz="1100" b="0" i="0" baseline="0">
              <a:solidFill>
                <a:srgbClr val="00B0F0"/>
              </a:solidFill>
              <a:effectLst/>
              <a:latin typeface="+mn-lt"/>
              <a:ea typeface="+mn-ea"/>
              <a:cs typeface="+mn-cs"/>
            </a:rPr>
            <a:t>mite wash</a:t>
          </a:r>
          <a:r>
            <a:rPr lang="en-US" sz="1100" b="0" i="0" baseline="0">
              <a:effectLst/>
              <a:latin typeface="+mn-lt"/>
              <a:ea typeface="+mn-ea"/>
              <a:cs typeface="+mn-cs"/>
            </a:rPr>
            <a:t> or </a:t>
          </a:r>
          <a:r>
            <a:rPr lang="en-US" sz="1100" b="1" i="0" baseline="0">
              <a:effectLst/>
              <a:latin typeface="+mn-lt"/>
              <a:ea typeface="+mn-ea"/>
              <a:cs typeface="+mn-cs"/>
            </a:rPr>
            <a:t>stickyboard</a:t>
          </a:r>
          <a:r>
            <a:rPr lang="en-US" sz="1100" b="0" i="0" baseline="0">
              <a:effectLst/>
              <a:latin typeface="+mn-lt"/>
              <a:ea typeface="+mn-ea"/>
              <a:cs typeface="+mn-cs"/>
            </a:rPr>
            <a:t> counts from the field (this number is important only if you're trying to zero the infestation rate, which takes longer at higher starting mite levels).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baseline="0">
              <a:effectLst/>
              <a:latin typeface="+mn-lt"/>
              <a:ea typeface="+mn-ea"/>
              <a:cs typeface="+mn-cs"/>
            </a:rPr>
            <a:t>At this point, the model will graph out the projected mite increase over the next two months</a:t>
          </a:r>
          <a:r>
            <a:rPr lang="en-US" sz="1100" b="0" i="0" baseline="0">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3:  </a:t>
          </a:r>
          <a:r>
            <a:rPr lang="en-US" sz="1100" b="0" i="0" baseline="0">
              <a:effectLst/>
              <a:latin typeface="+mn-lt"/>
              <a:ea typeface="+mn-ea"/>
              <a:cs typeface="+mn-cs"/>
            </a:rPr>
            <a:t>For expected efficacy, input the percent kill of the phoretic mites (the model spreads this kill over 5 days).  90 or 95 would generally be a reasonable value, unless it's really cold*.</a:t>
          </a:r>
        </a:p>
        <a:p>
          <a:pPr marL="0" marR="0" lvl="0" indent="0" defTabSz="914400" eaLnBrk="1" fontAlgn="auto" latinLnBrk="0" hangingPunct="1">
            <a:lnSpc>
              <a:spcPct val="100000"/>
            </a:lnSpc>
            <a:spcBef>
              <a:spcPts val="0"/>
            </a:spcBef>
            <a:spcAft>
              <a:spcPts val="0"/>
            </a:spcAft>
            <a:buClrTx/>
            <a:buSzTx/>
            <a:buFontTx/>
            <a:buNone/>
            <a:tabLst/>
            <a:defRPr/>
          </a:pPr>
          <a:endParaRPr lang="en-US" sz="800" b="1" i="0" baseline="0">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4:   T</a:t>
          </a:r>
          <a:r>
            <a:rPr lang="en-US" sz="1100" b="0" i="0" baseline="0">
              <a:effectLst/>
              <a:latin typeface="+mn-lt"/>
              <a:ea typeface="+mn-ea"/>
              <a:cs typeface="+mn-cs"/>
            </a:rPr>
            <a:t>reatment interval.  Enter 4, 7, 10, 14, or "C" (for custom) for the number of days between OAV applications.  For a "custom" interval, enter the numeral "1" in </a:t>
          </a:r>
          <a:r>
            <a:rPr lang="en-US" sz="1100" b="1" i="0" baseline="0">
              <a:solidFill>
                <a:srgbClr val="FF0000"/>
              </a:solidFill>
              <a:effectLst/>
              <a:latin typeface="+mn-lt"/>
              <a:ea typeface="+mn-ea"/>
              <a:cs typeface="+mn-cs"/>
            </a:rPr>
            <a:t>this row</a:t>
          </a:r>
          <a:r>
            <a:rPr lang="en-US" sz="1100" b="0" i="0" baseline="0">
              <a:effectLst/>
              <a:latin typeface="+mn-lt"/>
              <a:ea typeface="+mn-ea"/>
              <a:cs typeface="+mn-cs"/>
            </a:rPr>
            <a:t> for each each date that you wish to apply a vaporization treatment.</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*Y</a:t>
          </a:r>
          <a:r>
            <a:rPr lang="en-US" sz="1100">
              <a:effectLst/>
              <a:latin typeface="+mn-lt"/>
              <a:ea typeface="+mn-ea"/>
              <a:cs typeface="+mn-cs"/>
            </a:rPr>
            <a:t>ou can determine actual efficacy for your vaporizer and conditions by taking mite-wash counts before, and 5 days after an OAV). For small colonies during a broodless period, 95% is a reasonable value (one gets diminishing returns above 85%), whereas for larger colonies, or for applications in cold weather, use a lower value.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67</xdr:col>
      <xdr:colOff>488156</xdr:colOff>
      <xdr:row>33</xdr:row>
      <xdr:rowOff>130968</xdr:rowOff>
    </xdr:from>
    <xdr:to>
      <xdr:col>73</xdr:col>
      <xdr:colOff>107156</xdr:colOff>
      <xdr:row>34</xdr:row>
      <xdr:rowOff>154781</xdr:rowOff>
    </xdr:to>
    <xdr:cxnSp macro="">
      <xdr:nvCxnSpPr>
        <xdr:cNvPr id="5" name="Straight Arrow Connector 4">
          <a:extLst>
            <a:ext uri="{FF2B5EF4-FFF2-40B4-BE49-F238E27FC236}">
              <a16:creationId xmlns:a16="http://schemas.microsoft.com/office/drawing/2014/main" id="{C113B580-ECA8-1F7C-AEF7-54C443CC36CF}"/>
            </a:ext>
          </a:extLst>
        </xdr:cNvPr>
        <xdr:cNvCxnSpPr/>
      </xdr:nvCxnSpPr>
      <xdr:spPr>
        <a:xfrm flipH="1">
          <a:off x="12549187" y="5631656"/>
          <a:ext cx="2774157" cy="6667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0.0989</cdr:x>
      <cdr:y>0.1487</cdr:y>
    </cdr:from>
    <cdr:to>
      <cdr:x>0.11355</cdr:x>
      <cdr:y>0.19424</cdr:y>
    </cdr:to>
    <cdr:cxnSp macro="">
      <cdr:nvCxnSpPr>
        <cdr:cNvPr id="3" name="Straight Arrow Connector 2">
          <a:extLst xmlns:a="http://schemas.openxmlformats.org/drawingml/2006/main">
            <a:ext uri="{FF2B5EF4-FFF2-40B4-BE49-F238E27FC236}">
              <a16:creationId xmlns:a16="http://schemas.microsoft.com/office/drawing/2014/main" id="{B94E5893-EBFD-BF15-FD3A-02157E8E6A6E}"/>
            </a:ext>
          </a:extLst>
        </cdr:cNvPr>
        <cdr:cNvCxnSpPr/>
      </cdr:nvCxnSpPr>
      <cdr:spPr>
        <a:xfrm xmlns:a="http://schemas.openxmlformats.org/drawingml/2006/main" flipH="1">
          <a:off x="1028691" y="774745"/>
          <a:ext cx="152379" cy="237271"/>
        </a:xfrm>
        <a:prstGeom xmlns:a="http://schemas.openxmlformats.org/drawingml/2006/main" prst="straightConnector1">
          <a:avLst/>
        </a:prstGeom>
        <a:ln xmlns:a="http://schemas.openxmlformats.org/drawingml/2006/main" w="15875">
          <a:solidFill>
            <a:srgbClr val="00B0F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0.95918</cdr:x>
      <cdr:y>0.36092</cdr:y>
    </cdr:from>
    <cdr:to>
      <cdr:x>0.97489</cdr:x>
      <cdr:y>0.64977</cdr:y>
    </cdr:to>
    <cdr:sp macro="" textlink="">
      <cdr:nvSpPr>
        <cdr:cNvPr id="2" name="TextBox 1">
          <a:extLst xmlns:a="http://schemas.openxmlformats.org/drawingml/2006/main">
            <a:ext uri="{FF2B5EF4-FFF2-40B4-BE49-F238E27FC236}">
              <a16:creationId xmlns:a16="http://schemas.microsoft.com/office/drawing/2014/main" id="{EB99327A-B301-C20A-1FAB-D9425EE0B98F}"/>
            </a:ext>
          </a:extLst>
        </cdr:cNvPr>
        <cdr:cNvSpPr txBox="1"/>
      </cdr:nvSpPr>
      <cdr:spPr>
        <a:xfrm xmlns:a="http://schemas.openxmlformats.org/drawingml/2006/main" rot="16200000">
          <a:off x="9305931" y="2551226"/>
          <a:ext cx="1504949" cy="16339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100" b="0" kern="1200"/>
            <a:t>Projected</a:t>
          </a:r>
          <a:r>
            <a:rPr lang="en-US" sz="1100" b="0" kern="1200" baseline="0"/>
            <a:t> </a:t>
          </a:r>
          <a:r>
            <a:rPr lang="en-US" sz="1100" b="1" i="1" kern="1200" baseline="0"/>
            <a:t>d</a:t>
          </a:r>
          <a:r>
            <a:rPr lang="en-US" sz="1100" b="1" i="1" kern="1200"/>
            <a:t>aily </a:t>
          </a:r>
          <a:r>
            <a:rPr lang="en-US" sz="1100" b="0" kern="1200"/>
            <a:t>mite drop</a:t>
          </a:r>
        </a:p>
      </cdr:txBody>
    </cdr:sp>
  </cdr:relSizeAnchor>
  <cdr:relSizeAnchor xmlns:cdr="http://schemas.openxmlformats.org/drawingml/2006/chartDrawing">
    <cdr:from>
      <cdr:x>0.95055</cdr:x>
      <cdr:y>0.65265</cdr:y>
    </cdr:from>
    <cdr:to>
      <cdr:x>0.96429</cdr:x>
      <cdr:y>0.69104</cdr:y>
    </cdr:to>
    <cdr:cxnSp macro="">
      <cdr:nvCxnSpPr>
        <cdr:cNvPr id="11" name="Straight Arrow Connector 10">
          <a:extLst xmlns:a="http://schemas.openxmlformats.org/drawingml/2006/main">
            <a:ext uri="{FF2B5EF4-FFF2-40B4-BE49-F238E27FC236}">
              <a16:creationId xmlns:a16="http://schemas.microsoft.com/office/drawing/2014/main" id="{5FA1A2C1-41C8-5B4D-5790-91709F4D698D}"/>
            </a:ext>
          </a:extLst>
        </cdr:cNvPr>
        <cdr:cNvCxnSpPr/>
      </cdr:nvCxnSpPr>
      <cdr:spPr>
        <a:xfrm xmlns:a="http://schemas.openxmlformats.org/drawingml/2006/main" flipH="1">
          <a:off x="9886949" y="3400424"/>
          <a:ext cx="142875" cy="200025"/>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0.97436</cdr:x>
      <cdr:y>0.33042</cdr:y>
    </cdr:from>
    <cdr:to>
      <cdr:x>0.99634</cdr:x>
      <cdr:y>0.75732</cdr:y>
    </cdr:to>
    <cdr:pic>
      <cdr:nvPicPr>
        <cdr:cNvPr id="16" name="chart">
          <a:extLst xmlns:a="http://schemas.openxmlformats.org/drawingml/2006/main">
            <a:ext uri="{FF2B5EF4-FFF2-40B4-BE49-F238E27FC236}">
              <a16:creationId xmlns:a16="http://schemas.microsoft.com/office/drawing/2014/main" id="{FC7EF6F1-94DE-AFED-C1E5-E6049132DBD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rot="16200000">
          <a:off x="9136777" y="2719354"/>
          <a:ext cx="2224223" cy="228621"/>
        </a:xfrm>
        <a:prstGeom xmlns:a="http://schemas.openxmlformats.org/drawingml/2006/main" prst="rect">
          <a:avLst/>
        </a:prstGeom>
      </cdr:spPr>
    </cdr:pic>
  </cdr:relSizeAnchor>
  <cdr:relSizeAnchor xmlns:cdr="http://schemas.openxmlformats.org/drawingml/2006/chartDrawing">
    <cdr:from>
      <cdr:x>0.04945</cdr:x>
      <cdr:y>0.84459</cdr:y>
    </cdr:from>
    <cdr:to>
      <cdr:x>0.92857</cdr:x>
      <cdr:y>1</cdr:y>
    </cdr:to>
    <cdr:pic>
      <cdr:nvPicPr>
        <cdr:cNvPr id="12" name="chart">
          <a:extLst xmlns:a="http://schemas.openxmlformats.org/drawingml/2006/main">
            <a:ext uri="{FF2B5EF4-FFF2-40B4-BE49-F238E27FC236}">
              <a16:creationId xmlns:a16="http://schemas.microsoft.com/office/drawing/2014/main" id="{9CF66CF1-308E-F3A2-19F3-AB4DC137D57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514350" y="4400436"/>
          <a:ext cx="9143999" cy="809738"/>
        </a:xfrm>
        <a:prstGeom xmlns:a="http://schemas.openxmlformats.org/drawingml/2006/main" prst="rect">
          <a:avLst/>
        </a:prstGeom>
        <a:ln xmlns:a="http://schemas.openxmlformats.org/drawingml/2006/main">
          <a:solidFill>
            <a:sysClr val="windowText" lastClr="000000"/>
          </a:solidFill>
        </a:ln>
      </cdr:spPr>
    </cdr:pic>
  </cdr:relSizeAnchor>
  <cdr:relSizeAnchor xmlns:cdr="http://schemas.openxmlformats.org/drawingml/2006/chartDrawing">
    <cdr:from>
      <cdr:x>0.06319</cdr:x>
      <cdr:y>0.75503</cdr:y>
    </cdr:from>
    <cdr:to>
      <cdr:x>0.94597</cdr:x>
      <cdr:y>0.79707</cdr:y>
    </cdr:to>
    <cdr:sp macro="" textlink="">
      <cdr:nvSpPr>
        <cdr:cNvPr id="13" name="Rectangle 12">
          <a:extLst xmlns:a="http://schemas.openxmlformats.org/drawingml/2006/main">
            <a:ext uri="{FF2B5EF4-FFF2-40B4-BE49-F238E27FC236}">
              <a16:creationId xmlns:a16="http://schemas.microsoft.com/office/drawing/2014/main" id="{F5D18272-B70A-A2E2-AEA4-C1E3982FB908}"/>
            </a:ext>
          </a:extLst>
        </cdr:cNvPr>
        <cdr:cNvSpPr/>
      </cdr:nvSpPr>
      <cdr:spPr>
        <a:xfrm xmlns:a="http://schemas.openxmlformats.org/drawingml/2006/main">
          <a:off x="657224" y="3933824"/>
          <a:ext cx="9182100" cy="219075"/>
        </a:xfrm>
        <a:prstGeom xmlns:a="http://schemas.openxmlformats.org/drawingml/2006/main" prst="rect">
          <a:avLst/>
        </a:prstGeom>
        <a:noFill xmlns:a="http://schemas.openxmlformats.org/drawingml/2006/main"/>
        <a:ln xmlns:a="http://schemas.openxmlformats.org/drawingml/2006/main" w="6350">
          <a:solidFill>
            <a:schemeClr val="accent6">
              <a:lumMod val="7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7199-0575-42FE-A935-4A2AB8DC4205}">
  <dimension ref="B1:EJ130"/>
  <sheetViews>
    <sheetView tabSelected="1" zoomScale="90" zoomScaleNormal="90" zoomScaleSheetLayoutView="50" workbookViewId="0">
      <selection activeCell="BR8" sqref="BR8"/>
    </sheetView>
  </sheetViews>
  <sheetFormatPr defaultRowHeight="12.75"/>
  <cols>
    <col min="1" max="1" width="11.5703125" customWidth="1"/>
    <col min="2" max="3" width="2.5703125" customWidth="1"/>
    <col min="4" max="61" width="3.28515625" customWidth="1"/>
    <col min="62" max="62" width="3.28515625" bestFit="1" customWidth="1"/>
    <col min="63" max="63" width="2.5703125" customWidth="1"/>
    <col min="64" max="67" width="3.5703125" customWidth="1"/>
    <col min="68" max="68" width="7.7109375" customWidth="1"/>
    <col min="69" max="70" width="10.5703125" customWidth="1"/>
    <col min="71" max="71" width="7.140625" bestFit="1" customWidth="1"/>
    <col min="72" max="74" width="5.7109375" customWidth="1"/>
    <col min="75" max="75" width="3.28515625" customWidth="1"/>
    <col min="76" max="82" width="5.7109375" customWidth="1"/>
    <col min="87" max="87" width="10.7109375" customWidth="1"/>
    <col min="88" max="88" width="7.140625" style="22" bestFit="1" customWidth="1"/>
    <col min="89" max="89" width="15.5703125" style="22" customWidth="1"/>
    <col min="90" max="90" width="9" style="22"/>
    <col min="91" max="93" width="12.7109375" style="22" customWidth="1"/>
    <col min="94" max="94" width="14.5703125" style="22" customWidth="1"/>
    <col min="95" max="98" width="15.5703125" style="22" customWidth="1"/>
    <col min="99" max="99" width="12.7109375" style="23" customWidth="1"/>
    <col min="100" max="101" width="10.7109375" style="23" customWidth="1"/>
    <col min="102" max="102" width="14.7109375" style="23" customWidth="1"/>
    <col min="103" max="103" width="10.7109375" style="23" customWidth="1"/>
    <col min="104" max="104" width="12.7109375" style="23" customWidth="1"/>
    <col min="105" max="112" width="10.7109375" style="23" customWidth="1"/>
    <col min="113" max="113" width="12.7109375" style="23" customWidth="1"/>
    <col min="114" max="114" width="10.7109375" style="24" customWidth="1"/>
    <col min="115" max="117" width="10.7109375" style="23" customWidth="1"/>
    <col min="118" max="122" width="9" style="22"/>
    <col min="123" max="123" width="12.5703125" style="22" customWidth="1"/>
    <col min="124" max="125" width="9" style="22"/>
    <col min="126" max="126" width="15.5703125" style="22" customWidth="1"/>
    <col min="127" max="127" width="10.7109375" style="22" customWidth="1"/>
    <col min="128" max="128" width="12.5703125" style="22" customWidth="1"/>
    <col min="129" max="133" width="9" style="22"/>
    <col min="134" max="136" width="10.7109375" style="22" customWidth="1"/>
    <col min="137" max="138" width="9" style="22"/>
    <col min="139" max="139" width="9.5703125" style="22" customWidth="1"/>
    <col min="140" max="140" width="9" style="22"/>
  </cols>
  <sheetData>
    <row r="1" spans="12:117" ht="13.15" customHeight="1"/>
    <row r="2" spans="12:117" ht="12.75" customHeight="1">
      <c r="L2" s="109" t="s">
        <v>0</v>
      </c>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row>
    <row r="3" spans="12:117" ht="13.15" customHeight="1">
      <c r="L3" s="2"/>
      <c r="M3" s="110" t="s">
        <v>1</v>
      </c>
      <c r="N3" s="110"/>
      <c r="O3" s="110"/>
      <c r="P3" s="110"/>
      <c r="Q3" s="111">
        <v>46104</v>
      </c>
      <c r="R3" s="111"/>
      <c r="S3" s="111"/>
      <c r="T3" s="111"/>
      <c r="U3" s="111"/>
      <c r="V3" s="3"/>
      <c r="W3" s="3"/>
      <c r="X3" s="3"/>
      <c r="Y3" s="3"/>
      <c r="Z3" s="3"/>
      <c r="AA3" s="3"/>
      <c r="AB3" s="3"/>
      <c r="AC3" s="3"/>
      <c r="AD3" s="3"/>
      <c r="AE3" s="3"/>
      <c r="AF3" s="3"/>
      <c r="AG3" s="3"/>
      <c r="AH3" s="3"/>
      <c r="AI3" s="3"/>
      <c r="AJ3" s="3"/>
      <c r="AK3" s="3"/>
      <c r="AL3" s="3"/>
      <c r="AM3" s="3"/>
      <c r="AN3" s="3"/>
      <c r="AO3" s="3"/>
      <c r="AP3" s="3"/>
      <c r="AQ3" s="2"/>
      <c r="DL3" s="22"/>
      <c r="DM3" s="22"/>
    </row>
    <row r="4" spans="12:117" ht="13.15" customHeight="1">
      <c r="BQ4" s="118" t="s">
        <v>56</v>
      </c>
      <c r="BR4" s="118"/>
      <c r="CO4" s="25"/>
      <c r="CP4" s="25"/>
      <c r="CQ4" s="25"/>
      <c r="CR4" s="25"/>
      <c r="CS4" s="25"/>
      <c r="CT4" s="25"/>
      <c r="CU4" s="25"/>
      <c r="DL4" s="22"/>
      <c r="DM4" s="22"/>
    </row>
    <row r="5" spans="12:117">
      <c r="BQ5" s="4" t="s">
        <v>2</v>
      </c>
      <c r="BR5" s="5" t="s">
        <v>3</v>
      </c>
      <c r="BS5" s="91" t="s">
        <v>4</v>
      </c>
      <c r="DL5" s="22"/>
      <c r="DM5" s="22"/>
    </row>
    <row r="6" spans="12:117" ht="12.75" customHeight="1">
      <c r="BQ6" s="4" t="s">
        <v>5</v>
      </c>
      <c r="BR6" s="5">
        <v>1500</v>
      </c>
      <c r="BS6" s="91" t="s">
        <v>6</v>
      </c>
      <c r="CU6" s="22"/>
      <c r="DF6" s="22"/>
      <c r="DG6" s="22"/>
      <c r="DH6" s="22"/>
      <c r="DI6" s="22"/>
      <c r="DL6" s="22"/>
      <c r="DM6" s="22"/>
    </row>
    <row r="7" spans="12:117" ht="12.75" customHeight="1">
      <c r="BQ7" s="4" t="s">
        <v>66</v>
      </c>
      <c r="BR7" s="6">
        <v>0.95</v>
      </c>
      <c r="BS7" s="92" t="s">
        <v>7</v>
      </c>
      <c r="DF7" s="22"/>
      <c r="DG7" s="22"/>
      <c r="DH7" s="22"/>
      <c r="DI7" s="22"/>
      <c r="DL7" s="22"/>
      <c r="DM7" s="22"/>
    </row>
    <row r="8" spans="12:117" ht="12.75" customHeight="1">
      <c r="BQ8" s="4" t="s">
        <v>8</v>
      </c>
      <c r="BR8" s="7"/>
      <c r="BS8" s="91" t="s">
        <v>9</v>
      </c>
      <c r="CU8" s="26"/>
      <c r="DF8" s="22"/>
      <c r="DG8" s="22"/>
      <c r="DH8" s="22"/>
      <c r="DI8" s="22"/>
      <c r="DL8" s="22"/>
      <c r="DM8" s="22"/>
    </row>
    <row r="9" spans="12:117">
      <c r="CV9" s="22"/>
      <c r="CW9" s="22"/>
      <c r="DF9" s="22"/>
      <c r="DG9" s="22"/>
      <c r="DH9" s="22"/>
      <c r="DI9" s="22"/>
      <c r="DL9" s="22"/>
      <c r="DM9" s="22"/>
    </row>
    <row r="10" spans="12:117">
      <c r="CV10" s="22"/>
      <c r="CW10" s="22"/>
      <c r="DF10" s="22"/>
      <c r="DG10" s="22"/>
      <c r="DH10" s="22"/>
      <c r="DI10" s="22"/>
      <c r="DL10" s="22"/>
      <c r="DM10" s="22"/>
    </row>
    <row r="11" spans="12:117">
      <c r="AQ11" s="9"/>
      <c r="CE11" s="10"/>
      <c r="CI11" t="s">
        <v>10</v>
      </c>
      <c r="CV11" s="22"/>
      <c r="CW11" s="22"/>
      <c r="DF11" s="22"/>
      <c r="DG11" s="22"/>
      <c r="DH11" s="22"/>
      <c r="DI11" s="22"/>
      <c r="DL11" s="22"/>
      <c r="DM11" s="22"/>
    </row>
    <row r="12" spans="12:117">
      <c r="CE12" s="10"/>
      <c r="CI12" t="s">
        <v>10</v>
      </c>
      <c r="CV12" s="22"/>
      <c r="CW12" s="22"/>
      <c r="CX12" s="22"/>
      <c r="CY12" s="22"/>
      <c r="CZ12" s="22"/>
      <c r="DA12" s="22"/>
      <c r="DB12" s="22"/>
      <c r="DC12" s="22"/>
      <c r="DD12" s="22"/>
      <c r="DE12" s="22"/>
      <c r="DF12" s="22"/>
      <c r="DG12" s="22"/>
      <c r="DH12" s="22"/>
      <c r="DI12" s="22"/>
      <c r="DL12" s="22"/>
      <c r="DM12" s="22"/>
    </row>
    <row r="13" spans="12:117">
      <c r="CE13" s="10"/>
      <c r="CI13" t="s">
        <v>10</v>
      </c>
      <c r="CV13" s="22"/>
      <c r="CW13" s="22"/>
      <c r="CX13" s="22"/>
      <c r="CY13" s="22"/>
      <c r="CZ13" s="22"/>
      <c r="DA13" s="22"/>
      <c r="DB13" s="22"/>
      <c r="DC13" s="22"/>
      <c r="DD13" s="22"/>
      <c r="DE13" s="22"/>
      <c r="DF13" s="22"/>
      <c r="DG13" s="22"/>
      <c r="DH13" s="22"/>
      <c r="DI13" s="22"/>
      <c r="DL13" s="22"/>
      <c r="DM13" s="22"/>
    </row>
    <row r="14" spans="12:117">
      <c r="CE14" s="10"/>
      <c r="CI14" t="s">
        <v>10</v>
      </c>
      <c r="CV14" s="22"/>
      <c r="CW14" s="22"/>
      <c r="CX14" s="22"/>
      <c r="CY14" s="22"/>
      <c r="CZ14" s="22"/>
      <c r="DA14" s="22"/>
      <c r="DB14" s="22"/>
      <c r="DC14" s="22"/>
      <c r="DD14" s="22"/>
      <c r="DE14" s="22"/>
      <c r="DF14" s="22"/>
      <c r="DG14" s="22"/>
      <c r="DH14" s="22"/>
      <c r="DI14" s="22"/>
      <c r="DL14" s="22"/>
      <c r="DM14" s="22"/>
    </row>
    <row r="15" spans="12:117">
      <c r="CE15" s="10"/>
      <c r="CV15" s="22"/>
      <c r="CW15" s="22"/>
      <c r="CX15" s="22"/>
      <c r="CY15" s="22"/>
      <c r="CZ15" s="22"/>
      <c r="DA15" s="22"/>
      <c r="DB15" s="22"/>
      <c r="DC15" s="22"/>
      <c r="DD15" s="22"/>
      <c r="DE15" s="22"/>
      <c r="DF15" s="22"/>
      <c r="DG15" s="22"/>
      <c r="DH15" s="22"/>
      <c r="DI15" s="22"/>
      <c r="DL15" s="22"/>
      <c r="DM15" s="22"/>
    </row>
    <row r="16" spans="12:117">
      <c r="CE16" s="11"/>
      <c r="CF16" s="11"/>
      <c r="CV16" s="22"/>
      <c r="CW16" s="22"/>
      <c r="CX16" s="22"/>
      <c r="CY16" s="22"/>
      <c r="CZ16" s="22"/>
      <c r="DA16" s="22"/>
      <c r="DB16" s="22"/>
      <c r="DC16" s="22"/>
      <c r="DD16" s="22"/>
      <c r="DE16" s="22"/>
      <c r="DF16" s="22"/>
      <c r="DG16" s="22"/>
      <c r="DH16" s="22"/>
      <c r="DI16" s="22"/>
      <c r="DL16" s="22"/>
      <c r="DM16" s="22"/>
    </row>
    <row r="17" spans="83:117">
      <c r="CE17" s="12"/>
      <c r="CF17" s="12"/>
      <c r="CG17" s="13"/>
      <c r="CH17" s="8"/>
      <c r="CI17" s="13"/>
      <c r="CJ17" s="27"/>
      <c r="CV17" s="22"/>
      <c r="CW17" s="22"/>
      <c r="CX17" s="22"/>
      <c r="CY17" s="22"/>
      <c r="CZ17" s="22"/>
      <c r="DA17" s="22"/>
      <c r="DB17" s="22"/>
      <c r="DC17" s="22"/>
      <c r="DD17" s="22"/>
      <c r="DE17" s="22"/>
      <c r="DF17" s="22"/>
      <c r="DG17" s="22"/>
      <c r="DH17" s="22"/>
      <c r="DI17" s="22"/>
      <c r="DL17" s="22"/>
      <c r="DM17" s="22"/>
    </row>
    <row r="18" spans="83:117">
      <c r="CE18" s="12"/>
      <c r="CF18" s="12"/>
      <c r="CG18" s="13"/>
      <c r="CH18" s="8"/>
      <c r="CI18" s="13"/>
      <c r="CJ18" s="27"/>
      <c r="CV18" s="22"/>
      <c r="CW18" s="22"/>
      <c r="CY18" s="22"/>
      <c r="CZ18" s="22"/>
      <c r="DA18" s="22"/>
      <c r="DB18" s="22"/>
      <c r="DC18" s="22"/>
      <c r="DD18" s="22"/>
      <c r="DE18" s="22"/>
      <c r="DF18" s="22"/>
      <c r="DG18" s="22"/>
      <c r="DH18" s="22"/>
      <c r="DI18" s="22"/>
      <c r="DL18" s="22"/>
      <c r="DM18" s="22"/>
    </row>
    <row r="19" spans="83:117">
      <c r="CE19" s="12"/>
      <c r="CF19" s="12"/>
      <c r="CG19" s="13"/>
      <c r="CH19" s="8"/>
      <c r="CI19" s="13"/>
      <c r="CJ19" s="27"/>
      <c r="CV19" s="22"/>
      <c r="CW19" s="22"/>
      <c r="CX19" s="22"/>
      <c r="CY19" s="22"/>
      <c r="CZ19" s="22"/>
      <c r="DA19" s="22"/>
      <c r="DB19" s="22"/>
      <c r="DC19" s="22"/>
      <c r="DD19" s="22"/>
      <c r="DE19" s="22"/>
      <c r="DF19" s="22"/>
      <c r="DG19" s="22"/>
      <c r="DH19" s="22"/>
      <c r="DI19" s="22"/>
      <c r="DL19" s="22"/>
      <c r="DM19" s="22"/>
    </row>
    <row r="20" spans="83:117">
      <c r="CE20" s="12"/>
      <c r="CF20" s="12"/>
      <c r="CG20" s="13"/>
      <c r="CH20" s="8"/>
      <c r="CI20" s="13"/>
      <c r="CJ20" s="27"/>
      <c r="CV20" s="22"/>
      <c r="CW20" s="22"/>
      <c r="CX20" s="22"/>
      <c r="CY20" s="22"/>
      <c r="CZ20" s="22"/>
      <c r="DA20" s="22"/>
      <c r="DB20" s="22"/>
      <c r="DC20" s="22"/>
      <c r="DD20" s="22"/>
      <c r="DE20" s="22"/>
      <c r="DF20" s="22"/>
      <c r="DG20" s="22"/>
      <c r="DH20" s="22"/>
      <c r="DI20" s="22"/>
      <c r="DL20" s="22"/>
      <c r="DM20" s="22"/>
    </row>
    <row r="21" spans="83:117">
      <c r="CE21" s="12"/>
      <c r="CF21" s="12"/>
      <c r="CG21" s="13"/>
      <c r="CH21" s="8"/>
      <c r="CI21" s="13"/>
      <c r="CJ21" s="27"/>
      <c r="CV21" s="22"/>
      <c r="CW21" s="22"/>
      <c r="CX21" s="22"/>
      <c r="CY21" s="22"/>
      <c r="CZ21" s="22"/>
      <c r="DA21" s="22"/>
      <c r="DB21" s="22"/>
      <c r="DC21" s="22"/>
      <c r="DD21" s="22"/>
      <c r="DE21" s="22"/>
      <c r="DF21" s="22"/>
      <c r="DG21" s="22"/>
      <c r="DH21" s="22"/>
      <c r="DI21" s="22"/>
      <c r="DL21" s="22"/>
      <c r="DM21" s="22"/>
    </row>
    <row r="22" spans="83:117">
      <c r="CE22" s="10"/>
      <c r="CG22" s="14"/>
      <c r="CH22" s="8"/>
      <c r="CI22" s="15"/>
      <c r="CJ22" s="28"/>
      <c r="CV22" s="22"/>
      <c r="CW22" s="22"/>
      <c r="CX22" s="22"/>
      <c r="CY22" s="22"/>
      <c r="CZ22" s="22"/>
      <c r="DA22" s="22"/>
      <c r="DB22" s="22"/>
      <c r="DC22" s="22"/>
      <c r="DD22" s="22"/>
      <c r="DE22" s="22"/>
      <c r="DF22" s="22"/>
      <c r="DG22" s="22"/>
      <c r="DH22" s="22"/>
      <c r="DI22" s="22"/>
      <c r="DL22" s="22"/>
      <c r="DM22" s="22"/>
    </row>
    <row r="23" spans="83:117">
      <c r="CV23" s="22"/>
      <c r="CW23" s="22"/>
      <c r="CX23" s="22"/>
      <c r="CY23" s="22"/>
      <c r="CZ23" s="22"/>
      <c r="DA23" s="22"/>
      <c r="DB23" s="22"/>
      <c r="DC23" s="22"/>
      <c r="DD23" s="22"/>
      <c r="DE23" s="22"/>
      <c r="DF23" s="22"/>
      <c r="DG23" s="22"/>
      <c r="DH23" s="22"/>
      <c r="DI23" s="22"/>
      <c r="DL23" s="22"/>
      <c r="DM23" s="22"/>
    </row>
    <row r="24" spans="83:117">
      <c r="CV24" s="22"/>
      <c r="CW24" s="22"/>
      <c r="CX24" s="22"/>
      <c r="CY24" s="22"/>
      <c r="CZ24" s="22"/>
      <c r="DA24" s="22"/>
      <c r="DB24" s="22"/>
      <c r="DC24" s="22"/>
      <c r="DD24" s="22"/>
      <c r="DE24" s="22"/>
      <c r="DF24" s="22"/>
      <c r="DG24" s="22"/>
      <c r="DH24" s="22"/>
      <c r="DI24" s="22"/>
      <c r="DL24" s="22"/>
      <c r="DM24" s="22"/>
    </row>
    <row r="25" spans="83:117">
      <c r="CV25" s="22"/>
      <c r="CW25" s="22"/>
      <c r="CX25" s="22"/>
      <c r="CY25" s="22"/>
      <c r="CZ25" s="22"/>
      <c r="DA25" s="22"/>
      <c r="DB25" s="22"/>
      <c r="DC25" s="22"/>
      <c r="DD25" s="22"/>
      <c r="DE25" s="22"/>
      <c r="DF25" s="22"/>
      <c r="DG25" s="22"/>
      <c r="DH25" s="22"/>
      <c r="DI25" s="22"/>
      <c r="DL25" s="22"/>
      <c r="DM25" s="22"/>
    </row>
    <row r="26" spans="83:117">
      <c r="CV26" s="22"/>
      <c r="CW26" s="22"/>
      <c r="CX26" s="22"/>
      <c r="CY26" s="22"/>
      <c r="CZ26" s="22"/>
      <c r="DA26" s="22"/>
      <c r="DB26" s="22"/>
      <c r="DC26" s="22"/>
      <c r="DD26" s="22"/>
      <c r="DE26" s="22"/>
      <c r="DF26" s="22"/>
      <c r="DG26" s="22"/>
      <c r="DH26" s="22"/>
      <c r="DI26" s="22"/>
      <c r="DL26" s="22"/>
      <c r="DM26" s="22"/>
    </row>
    <row r="27" spans="83:117">
      <c r="CV27" s="22"/>
      <c r="CW27" s="22"/>
      <c r="CX27" s="22"/>
      <c r="CY27" s="22"/>
      <c r="CZ27" s="22"/>
      <c r="DA27" s="22"/>
      <c r="DB27" s="22"/>
      <c r="DC27" s="22"/>
      <c r="DD27" s="22"/>
      <c r="DE27" s="22"/>
      <c r="DF27" s="22"/>
      <c r="DG27" s="22"/>
      <c r="DH27" s="22"/>
      <c r="DI27" s="22"/>
      <c r="DL27" s="22"/>
      <c r="DM27" s="22"/>
    </row>
    <row r="28" spans="83:117">
      <c r="CV28" s="22"/>
      <c r="CW28" s="22"/>
      <c r="CX28" s="22"/>
      <c r="CY28" s="22"/>
      <c r="CZ28" s="22"/>
      <c r="DA28" s="22"/>
      <c r="DB28" s="22"/>
      <c r="DC28" s="22"/>
      <c r="DD28" s="22"/>
      <c r="DE28" s="22"/>
      <c r="DF28" s="22"/>
      <c r="DG28" s="22"/>
      <c r="DH28" s="22"/>
      <c r="DI28" s="22"/>
      <c r="DL28" s="22"/>
      <c r="DM28" s="22"/>
    </row>
    <row r="29" spans="83:117">
      <c r="CE29" s="10"/>
      <c r="CV29" s="22"/>
      <c r="CW29" s="22"/>
      <c r="CX29" s="22"/>
      <c r="CY29" s="22"/>
      <c r="CZ29" s="22"/>
      <c r="DA29" s="22"/>
      <c r="DB29" s="22"/>
      <c r="DC29" s="22"/>
      <c r="DD29" s="22"/>
      <c r="DE29" s="22"/>
      <c r="DF29" s="22"/>
      <c r="DG29" s="22"/>
      <c r="DH29" s="22"/>
      <c r="DI29" s="22"/>
      <c r="DL29" s="22"/>
      <c r="DM29" s="22"/>
    </row>
    <row r="30" spans="83:117">
      <c r="CE30" s="10"/>
      <c r="CV30" s="22"/>
      <c r="CW30" s="22"/>
      <c r="CX30" s="22"/>
      <c r="CY30" s="22"/>
      <c r="CZ30" s="22"/>
      <c r="DA30" s="22"/>
      <c r="DB30" s="22"/>
      <c r="DC30" s="22"/>
      <c r="DD30" s="22"/>
      <c r="DE30" s="22"/>
      <c r="DF30" s="22"/>
      <c r="DG30" s="22"/>
      <c r="DH30" s="22"/>
      <c r="DI30" s="22"/>
      <c r="DL30" s="22"/>
      <c r="DM30" s="22"/>
    </row>
    <row r="31" spans="83:117">
      <c r="CE31" s="10"/>
      <c r="CV31" s="22"/>
      <c r="CW31" s="22"/>
      <c r="CX31" s="22"/>
      <c r="CY31" s="22"/>
      <c r="CZ31" s="22"/>
      <c r="DA31" s="22"/>
      <c r="DB31" s="22"/>
      <c r="DC31" s="22"/>
      <c r="DD31" s="22"/>
      <c r="DE31" s="22"/>
      <c r="DF31" s="22"/>
      <c r="DG31" s="22"/>
      <c r="DH31" s="22"/>
      <c r="DI31" s="22"/>
      <c r="DL31" s="22"/>
      <c r="DM31" s="22"/>
    </row>
    <row r="33" spans="2:140" ht="13.15" customHeight="1"/>
    <row r="34" spans="2:140" s="1" customFormat="1" ht="51" customHeight="1">
      <c r="EH34" s="22"/>
      <c r="EI34" s="22"/>
      <c r="EJ34" s="22"/>
    </row>
    <row r="35" spans="2:140" ht="12.75" customHeight="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row>
    <row r="36" spans="2:140">
      <c r="E36" s="5"/>
      <c r="F36" s="5"/>
      <c r="G36" s="5"/>
      <c r="H36" s="5"/>
      <c r="I36" s="5"/>
      <c r="J36" s="5"/>
      <c r="K36" s="5"/>
      <c r="L36" s="5"/>
      <c r="M36" s="5"/>
      <c r="N36" s="5"/>
      <c r="O36" s="5"/>
      <c r="P36" s="5"/>
      <c r="Q36" s="5"/>
      <c r="R36" s="5"/>
      <c r="S36" s="5"/>
      <c r="T36" s="5"/>
      <c r="U36" s="5"/>
      <c r="V36" s="5">
        <v>1</v>
      </c>
      <c r="W36" s="5"/>
      <c r="X36" s="5"/>
      <c r="Y36" s="5"/>
      <c r="Z36" s="5"/>
      <c r="AA36" s="5"/>
      <c r="AB36" s="5"/>
      <c r="AC36" s="5"/>
      <c r="AD36" s="5"/>
      <c r="AE36" s="5"/>
      <c r="AF36" s="5"/>
      <c r="AG36" s="5"/>
      <c r="AH36" s="5"/>
      <c r="AI36" s="5">
        <v>1</v>
      </c>
      <c r="AJ36" s="5"/>
      <c r="AK36" s="5"/>
      <c r="AL36" s="5"/>
      <c r="AM36" s="5"/>
      <c r="AN36" s="5"/>
      <c r="AO36" s="5"/>
      <c r="AP36" s="5"/>
      <c r="AQ36" s="5"/>
      <c r="AR36" s="5"/>
      <c r="AS36" s="5"/>
      <c r="AT36" s="5"/>
      <c r="AU36" s="5"/>
      <c r="AV36" s="5"/>
      <c r="AW36" s="5">
        <v>1</v>
      </c>
      <c r="AX36" s="5"/>
      <c r="AY36" s="5"/>
      <c r="AZ36" s="5"/>
      <c r="BA36" s="5"/>
      <c r="BB36" s="5"/>
      <c r="BC36" s="5"/>
      <c r="BD36" s="5"/>
      <c r="BE36" s="5"/>
      <c r="BF36" s="5"/>
      <c r="BG36" s="5"/>
      <c r="BH36" s="5"/>
      <c r="BI36" s="5"/>
      <c r="BJ36" s="5"/>
      <c r="BK36" s="121" t="s">
        <v>57</v>
      </c>
      <c r="BL36" s="122"/>
      <c r="BM36" s="122"/>
      <c r="BN36" s="122"/>
      <c r="BO36" s="122"/>
      <c r="BP36" s="123"/>
    </row>
    <row r="37" spans="2:140" ht="12.75" customHeight="1">
      <c r="B37" s="118" t="s">
        <v>13</v>
      </c>
      <c r="C37" s="118"/>
      <c r="D37" s="124">
        <v>1</v>
      </c>
      <c r="E37" s="124">
        <v>2</v>
      </c>
      <c r="F37" s="124">
        <v>3</v>
      </c>
      <c r="G37" s="124">
        <v>4</v>
      </c>
      <c r="H37" s="124">
        <v>5</v>
      </c>
      <c r="I37" s="124">
        <v>6</v>
      </c>
      <c r="J37" s="124">
        <v>7</v>
      </c>
      <c r="K37" s="124">
        <v>8</v>
      </c>
      <c r="L37" s="124">
        <v>9</v>
      </c>
      <c r="M37" s="124">
        <v>10</v>
      </c>
      <c r="N37" s="124">
        <v>11</v>
      </c>
      <c r="O37" s="124">
        <v>12</v>
      </c>
      <c r="P37" s="124">
        <v>13</v>
      </c>
      <c r="Q37" s="124">
        <v>14</v>
      </c>
      <c r="R37" s="124">
        <v>15</v>
      </c>
      <c r="S37" s="124">
        <v>16</v>
      </c>
      <c r="T37" s="124">
        <v>17</v>
      </c>
      <c r="U37" s="124">
        <v>18</v>
      </c>
      <c r="V37" s="124">
        <v>19</v>
      </c>
      <c r="W37" s="124">
        <v>20</v>
      </c>
      <c r="X37" s="124">
        <v>21</v>
      </c>
      <c r="Y37" s="124">
        <v>22</v>
      </c>
      <c r="Z37" s="124">
        <v>23</v>
      </c>
      <c r="AA37" s="124">
        <v>24</v>
      </c>
      <c r="AB37" s="124">
        <v>25</v>
      </c>
      <c r="AC37" s="124">
        <v>26</v>
      </c>
      <c r="AD37" s="124">
        <v>27</v>
      </c>
      <c r="AE37" s="124">
        <v>28</v>
      </c>
      <c r="AF37" s="124">
        <v>29</v>
      </c>
      <c r="AG37" s="124">
        <v>30</v>
      </c>
      <c r="AH37" s="124">
        <v>31</v>
      </c>
      <c r="AI37" s="124">
        <v>32</v>
      </c>
      <c r="AJ37" s="124">
        <v>33</v>
      </c>
      <c r="AK37" s="124">
        <v>34</v>
      </c>
      <c r="AL37" s="124">
        <v>35</v>
      </c>
      <c r="AM37" s="124">
        <v>36</v>
      </c>
      <c r="AN37" s="124">
        <v>37</v>
      </c>
      <c r="AO37" s="124">
        <v>38</v>
      </c>
      <c r="AP37" s="124">
        <v>39</v>
      </c>
      <c r="AQ37" s="124">
        <v>40</v>
      </c>
      <c r="AR37" s="124">
        <v>41</v>
      </c>
      <c r="AS37" s="124">
        <v>42</v>
      </c>
      <c r="AT37" s="124">
        <v>43</v>
      </c>
      <c r="AU37" s="124">
        <v>44</v>
      </c>
      <c r="AV37" s="124">
        <v>45</v>
      </c>
      <c r="AW37" s="124">
        <v>46</v>
      </c>
      <c r="AX37" s="124">
        <v>47</v>
      </c>
      <c r="AY37" s="124">
        <v>48</v>
      </c>
      <c r="AZ37" s="124">
        <v>49</v>
      </c>
      <c r="BA37" s="124">
        <v>50</v>
      </c>
      <c r="BB37" s="124">
        <v>51</v>
      </c>
      <c r="BC37" s="124">
        <v>52</v>
      </c>
      <c r="BD37" s="124">
        <v>53</v>
      </c>
      <c r="BE37" s="124">
        <v>54</v>
      </c>
      <c r="BF37" s="124">
        <v>55</v>
      </c>
      <c r="BG37" s="124">
        <v>56</v>
      </c>
      <c r="BH37" s="124">
        <v>57</v>
      </c>
      <c r="BI37" s="124">
        <v>58</v>
      </c>
      <c r="BJ37" s="124">
        <v>59</v>
      </c>
      <c r="BK37" s="120"/>
      <c r="BL37" s="119"/>
      <c r="BM37" s="119"/>
      <c r="BN37" s="119"/>
      <c r="BO37" s="119"/>
      <c r="BP37" s="119"/>
    </row>
    <row r="39" spans="2:140" ht="12.75" customHeight="1">
      <c r="BQ39" s="117" t="s">
        <v>46</v>
      </c>
      <c r="BR39" s="117"/>
      <c r="BS39" s="116">
        <v>35000</v>
      </c>
      <c r="BT39" s="115" t="s">
        <v>47</v>
      </c>
      <c r="BU39" s="115"/>
      <c r="BV39" s="115"/>
      <c r="BW39" s="115"/>
      <c r="BX39" s="115"/>
      <c r="BY39" s="115"/>
      <c r="BZ39" s="115"/>
      <c r="CA39" s="115"/>
      <c r="CB39" s="115"/>
      <c r="CC39" s="115"/>
      <c r="CD39" s="115"/>
      <c r="CE39" s="115"/>
      <c r="CF39" s="115"/>
    </row>
    <row r="40" spans="2:140" ht="12.75" customHeight="1">
      <c r="BM40" t="str">
        <f t="shared" ref="BM40:BM62" si="0">LEFT(BL40,2)</f>
        <v/>
      </c>
      <c r="BQ40" s="117"/>
      <c r="BR40" s="117"/>
      <c r="BS40" s="116"/>
      <c r="BT40" s="115"/>
      <c r="BU40" s="115"/>
      <c r="BV40" s="115"/>
      <c r="BW40" s="115"/>
      <c r="BX40" s="115"/>
      <c r="BY40" s="115"/>
      <c r="BZ40" s="115"/>
      <c r="CA40" s="115"/>
      <c r="CB40" s="115"/>
      <c r="CC40" s="115"/>
      <c r="CD40" s="115"/>
      <c r="CE40" s="115"/>
      <c r="CF40" s="115"/>
    </row>
    <row r="41" spans="2:140" ht="12.75" customHeight="1">
      <c r="BM41" t="str">
        <f t="shared" si="0"/>
        <v/>
      </c>
      <c r="BQ41" s="117"/>
      <c r="BR41" s="117"/>
      <c r="BS41" s="16">
        <v>1.4</v>
      </c>
      <c r="BT41" s="114" t="s">
        <v>48</v>
      </c>
      <c r="BU41" s="114"/>
      <c r="BV41" s="114"/>
      <c r="BW41" s="114"/>
      <c r="BX41" s="114"/>
      <c r="BY41" s="114"/>
      <c r="BZ41" s="114"/>
    </row>
    <row r="42" spans="2:140" ht="12.75" customHeight="1">
      <c r="BM42" t="str">
        <f t="shared" si="0"/>
        <v/>
      </c>
    </row>
    <row r="43" spans="2:140" ht="12.75" customHeight="1">
      <c r="BM43" t="str">
        <f t="shared" si="0"/>
        <v/>
      </c>
      <c r="BQ43" s="96" t="s">
        <v>49</v>
      </c>
      <c r="BR43" s="97"/>
      <c r="BS43" s="100">
        <f>(CL97-CL66)/CL66/31</f>
        <v>2.2660379591913631E-2</v>
      </c>
      <c r="BT43" s="113" t="s">
        <v>50</v>
      </c>
      <c r="BU43" s="113"/>
      <c r="BV43" s="113"/>
      <c r="BW43" s="113"/>
      <c r="BX43" s="113"/>
      <c r="BY43" s="113"/>
      <c r="BZ43" s="113"/>
      <c r="CA43" s="113"/>
      <c r="CB43" s="113"/>
      <c r="CC43" s="113"/>
      <c r="CD43" s="113"/>
      <c r="CE43" s="113"/>
      <c r="CF43" s="113"/>
    </row>
    <row r="44" spans="2:140" ht="12.75" customHeight="1">
      <c r="BM44" t="str">
        <f t="shared" si="0"/>
        <v/>
      </c>
      <c r="BQ44" s="98"/>
      <c r="BR44" s="99"/>
      <c r="BS44" s="101"/>
      <c r="BT44" s="113"/>
      <c r="BU44" s="113"/>
      <c r="BV44" s="113"/>
      <c r="BW44" s="113"/>
      <c r="BX44" s="113"/>
      <c r="BY44" s="113"/>
      <c r="BZ44" s="113"/>
      <c r="CA44" s="113"/>
      <c r="CB44" s="113"/>
      <c r="CC44" s="113"/>
      <c r="CD44" s="113"/>
      <c r="CE44" s="113"/>
      <c r="CF44" s="113"/>
    </row>
    <row r="45" spans="2:140">
      <c r="BM45" t="str">
        <f t="shared" si="0"/>
        <v/>
      </c>
    </row>
    <row r="46" spans="2:140">
      <c r="BM46" t="str">
        <f t="shared" si="0"/>
        <v/>
      </c>
    </row>
    <row r="47" spans="2:140">
      <c r="BM47" t="str">
        <f t="shared" si="0"/>
        <v/>
      </c>
    </row>
    <row r="48" spans="2:140">
      <c r="BM48" t="str">
        <f t="shared" si="0"/>
        <v/>
      </c>
    </row>
    <row r="49" spans="65:137">
      <c r="BM49" t="str">
        <f t="shared" si="0"/>
        <v/>
      </c>
    </row>
    <row r="50" spans="65:137">
      <c r="BM50" t="str">
        <f t="shared" si="0"/>
        <v/>
      </c>
      <c r="CG50" s="20"/>
    </row>
    <row r="51" spans="65:137">
      <c r="BM51" t="str">
        <f t="shared" si="0"/>
        <v/>
      </c>
      <c r="CU51" s="126" t="s">
        <v>64</v>
      </c>
      <c r="CV51" s="22"/>
      <c r="CW51" s="22"/>
      <c r="CX51" s="22"/>
      <c r="CY51" s="22"/>
      <c r="CZ51" s="22"/>
      <c r="DA51" s="22"/>
      <c r="DB51" s="22"/>
      <c r="DC51" s="22"/>
      <c r="DD51" s="22"/>
      <c r="DE51" s="22"/>
      <c r="DF51" s="22"/>
      <c r="DG51" s="22"/>
      <c r="DH51" s="22"/>
      <c r="DI51" s="22"/>
      <c r="DL51" s="22"/>
      <c r="DM51" s="22"/>
    </row>
    <row r="52" spans="65:137">
      <c r="BM52" t="str">
        <f t="shared" si="0"/>
        <v/>
      </c>
      <c r="CU52" s="126"/>
      <c r="DC52" s="22"/>
      <c r="DD52" s="22"/>
      <c r="DE52" s="22"/>
      <c r="DF52" s="22"/>
      <c r="DG52" s="22"/>
      <c r="DH52" s="22"/>
      <c r="DI52" s="22"/>
      <c r="DL52" s="22"/>
      <c r="DM52" s="22"/>
      <c r="DS52" s="112" t="s">
        <v>11</v>
      </c>
      <c r="DT52" s="112"/>
      <c r="DU52" s="112"/>
      <c r="DV52" s="112"/>
      <c r="DW52" s="112"/>
      <c r="DX52" s="107" t="s">
        <v>12</v>
      </c>
      <c r="DY52" s="108"/>
      <c r="DZ52" s="108"/>
      <c r="EA52" s="108"/>
      <c r="EB52" s="108"/>
      <c r="EC52" s="108"/>
      <c r="ED52" s="108"/>
      <c r="EE52" s="108"/>
      <c r="EF52" s="108"/>
    </row>
    <row r="53" spans="65:137" ht="51">
      <c r="BM53" t="str">
        <f t="shared" si="0"/>
        <v/>
      </c>
      <c r="CH53" s="1"/>
      <c r="CJ53" s="29" t="s">
        <v>13</v>
      </c>
      <c r="CK53" s="93" t="s">
        <v>14</v>
      </c>
      <c r="CL53" s="30" t="s">
        <v>15</v>
      </c>
      <c r="CM53" s="30" t="s">
        <v>16</v>
      </c>
      <c r="CN53" s="31" t="s">
        <v>17</v>
      </c>
      <c r="CO53" s="32" t="s">
        <v>59</v>
      </c>
      <c r="CP53" s="32" t="s">
        <v>60</v>
      </c>
      <c r="CQ53" s="32" t="s">
        <v>60</v>
      </c>
      <c r="CR53" s="32" t="s">
        <v>60</v>
      </c>
      <c r="CS53" s="32" t="s">
        <v>60</v>
      </c>
      <c r="CT53" s="32" t="s">
        <v>60</v>
      </c>
      <c r="CU53" s="125" t="s">
        <v>18</v>
      </c>
      <c r="CV53" s="33" t="s">
        <v>19</v>
      </c>
      <c r="CW53" s="33" t="s">
        <v>20</v>
      </c>
      <c r="CX53" s="33" t="s">
        <v>58</v>
      </c>
      <c r="CY53" s="33" t="s">
        <v>21</v>
      </c>
      <c r="CZ53" s="30" t="s">
        <v>22</v>
      </c>
      <c r="DA53" s="30" t="s">
        <v>23</v>
      </c>
      <c r="DB53" s="33" t="s">
        <v>24</v>
      </c>
      <c r="DC53" s="30" t="s">
        <v>25</v>
      </c>
      <c r="DD53" s="34" t="s">
        <v>61</v>
      </c>
      <c r="DE53" s="30" t="s">
        <v>26</v>
      </c>
      <c r="DF53" s="34" t="s">
        <v>62</v>
      </c>
      <c r="DG53" s="35" t="s">
        <v>27</v>
      </c>
      <c r="DH53" s="35" t="s">
        <v>63</v>
      </c>
      <c r="DI53" s="34" t="s">
        <v>28</v>
      </c>
      <c r="DJ53" s="36" t="s">
        <v>29</v>
      </c>
      <c r="DK53" s="37" t="s">
        <v>30</v>
      </c>
      <c r="DL53" s="30" t="s">
        <v>13</v>
      </c>
      <c r="DM53" s="32" t="s">
        <v>31</v>
      </c>
      <c r="DN53" s="32" t="s">
        <v>32</v>
      </c>
      <c r="DO53" s="32" t="s">
        <v>33</v>
      </c>
      <c r="DP53" s="32" t="s">
        <v>34</v>
      </c>
      <c r="DQ53" s="32" t="s">
        <v>35</v>
      </c>
      <c r="DR53" s="32" t="s">
        <v>36</v>
      </c>
      <c r="DS53" s="38" t="s">
        <v>37</v>
      </c>
      <c r="DT53" s="38" t="s">
        <v>67</v>
      </c>
      <c r="DU53" s="38" t="s">
        <v>38</v>
      </c>
      <c r="DV53" s="38" t="s">
        <v>68</v>
      </c>
      <c r="DW53" s="38" t="s">
        <v>39</v>
      </c>
      <c r="DX53" s="39" t="s">
        <v>37</v>
      </c>
      <c r="DY53" s="39" t="s">
        <v>69</v>
      </c>
      <c r="DZ53" s="39" t="s">
        <v>38</v>
      </c>
      <c r="EA53" s="39" t="s">
        <v>40</v>
      </c>
      <c r="EB53" s="39" t="s">
        <v>41</v>
      </c>
      <c r="EC53" s="39" t="s">
        <v>42</v>
      </c>
      <c r="ED53" s="39" t="s">
        <v>39</v>
      </c>
      <c r="EE53" s="39" t="s">
        <v>43</v>
      </c>
      <c r="EF53" s="39"/>
      <c r="EG53" s="30" t="s">
        <v>44</v>
      </c>
    </row>
    <row r="54" spans="65:137">
      <c r="BM54" t="str">
        <f t="shared" si="0"/>
        <v/>
      </c>
      <c r="CJ54" s="40">
        <v>-12</v>
      </c>
      <c r="CK54" s="94"/>
      <c r="CL54" s="41">
        <f>IF(BR5="s",BR6*CI64,BR6*CI65)</f>
        <v>1231.95</v>
      </c>
      <c r="CM54" s="42">
        <f>IF($BR$5="S",DW54,IF($BR$5="F",ED54))</f>
        <v>8.3500181462286776</v>
      </c>
      <c r="CN54" s="43">
        <f>CL54*(CM54/(CM54+12))</f>
        <v>505.49364532890104</v>
      </c>
      <c r="CO54" s="44"/>
      <c r="CP54" s="6">
        <v>0.5</v>
      </c>
      <c r="CQ54" s="45">
        <v>0.25</v>
      </c>
      <c r="CR54" s="45">
        <v>0.15</v>
      </c>
      <c r="CS54" s="45">
        <v>0.1</v>
      </c>
      <c r="CT54" s="45">
        <v>0.05</v>
      </c>
      <c r="CU54" s="46">
        <f>CN54</f>
        <v>505.49364532890104</v>
      </c>
      <c r="CV54" s="47">
        <f>CL54-CN54</f>
        <v>726.45635467109901</v>
      </c>
      <c r="CW54" s="47">
        <f>CU54/CM54</f>
        <v>60.538029555924915</v>
      </c>
      <c r="CX54" s="48">
        <f>CV54/12</f>
        <v>60.538029555924915</v>
      </c>
      <c r="CY54" s="47">
        <f>(CX54*$BS$41)-CX54</f>
        <v>24.215211822369959</v>
      </c>
      <c r="CZ54" s="49">
        <f>CU54-CW54+CX54+CY54</f>
        <v>529.70885715127099</v>
      </c>
      <c r="DA54" s="49"/>
      <c r="DB54" s="47">
        <f>IF(DB53&lt;2,0,CV54-CX54+CW54)</f>
        <v>726.45635467109901</v>
      </c>
      <c r="DC54" s="49">
        <f>DB54-CV54</f>
        <v>0</v>
      </c>
      <c r="DD54" s="50">
        <f>(CN54+CX54*12)*0.025</f>
        <v>30.798750000000002</v>
      </c>
      <c r="DE54" s="49">
        <f>CZ54+DB54-DD54</f>
        <v>1225.3664618223702</v>
      </c>
      <c r="DF54" s="50">
        <f>DD54</f>
        <v>30.798750000000002</v>
      </c>
      <c r="DG54" s="51"/>
      <c r="DH54" s="52">
        <f>IF($BR$5="F",315*CZ54/EB54,315*CZ54/DV54)</f>
        <v>4.6349525000736209</v>
      </c>
      <c r="DI54" s="53"/>
      <c r="DJ54" s="54"/>
      <c r="DK54" s="41"/>
      <c r="DL54" s="55">
        <v>0</v>
      </c>
      <c r="DM54" s="56"/>
      <c r="DN54" s="56"/>
      <c r="DO54" s="56"/>
      <c r="DP54" s="56"/>
      <c r="DQ54" s="56"/>
      <c r="DR54" s="56"/>
      <c r="DS54" s="57">
        <v>5</v>
      </c>
      <c r="DT54" s="58">
        <f>DS54*4500</f>
        <v>22500</v>
      </c>
      <c r="DU54" s="57">
        <v>20</v>
      </c>
      <c r="DV54" s="57">
        <f>DU54*1800</f>
        <v>36000</v>
      </c>
      <c r="DW54" s="59">
        <f>5*LN(DV54/DT54)+6</f>
        <v>8.3500181462286776</v>
      </c>
      <c r="DX54" s="60">
        <v>5</v>
      </c>
      <c r="DY54" s="61">
        <f>DT54</f>
        <v>22500</v>
      </c>
      <c r="DZ54" s="61">
        <f>DU54</f>
        <v>20</v>
      </c>
      <c r="EA54" s="61">
        <v>1800</v>
      </c>
      <c r="EB54" s="61">
        <f>EA54*DZ54</f>
        <v>36000</v>
      </c>
      <c r="EC54" s="61">
        <f>IF(DY54=0,NA(),EB54/DY54)</f>
        <v>1.6</v>
      </c>
      <c r="ED54" s="62">
        <f>5*LN(EB54/DY54)+7.8</f>
        <v>10.150018146228678</v>
      </c>
      <c r="EE54" s="63" t="s">
        <v>45</v>
      </c>
      <c r="EF54" s="62"/>
      <c r="EG54" s="64">
        <v>0</v>
      </c>
    </row>
    <row r="55" spans="65:137">
      <c r="BM55" t="str">
        <f t="shared" si="0"/>
        <v/>
      </c>
      <c r="CJ55" s="40">
        <f>CJ54+1</f>
        <v>-11</v>
      </c>
      <c r="CK55" s="94"/>
      <c r="CL55" s="49">
        <f>DE54</f>
        <v>1225.3664618223702</v>
      </c>
      <c r="CM55" s="42">
        <f>IF($BR$5="S",DW55,IF($BR$5="F",ED55))</f>
        <v>8.3500181462286776</v>
      </c>
      <c r="CN55" s="43">
        <f>CZ54</f>
        <v>529.70885715127099</v>
      </c>
      <c r="CO55" s="44"/>
      <c r="CP55" s="65">
        <f>CN55*CO55</f>
        <v>0</v>
      </c>
      <c r="CQ55" s="65"/>
      <c r="CR55" s="65"/>
      <c r="CS55" s="65"/>
      <c r="CT55" s="65"/>
      <c r="CU55" s="46">
        <f>CN55-SUM(CP55:CR55)</f>
        <v>529.70885715127099</v>
      </c>
      <c r="CV55" s="47">
        <f>DB54</f>
        <v>726.45635467109901</v>
      </c>
      <c r="CW55" s="47">
        <f>CU55/CM55</f>
        <v>63.438048621548965</v>
      </c>
      <c r="CX55" s="48">
        <f>CV55/12</f>
        <v>60.538029555924915</v>
      </c>
      <c r="CY55" s="47">
        <f>(CX55*$BS$41)-CX55</f>
        <v>24.215211822369959</v>
      </c>
      <c r="CZ55" s="49">
        <f>CU55-CW55+CX55+CY55</f>
        <v>551.02404990801688</v>
      </c>
      <c r="DA55" s="49">
        <f>CZ55-CN55</f>
        <v>21.315192756745887</v>
      </c>
      <c r="DB55" s="47">
        <f>IF(DB54&lt;2,0,CV55-CX55+CW55)</f>
        <v>729.35637373672307</v>
      </c>
      <c r="DC55" s="49">
        <f>DB55-CV55</f>
        <v>2.9000190656240648</v>
      </c>
      <c r="DD55" s="50">
        <f>(CN55+CX55*12)*0.025</f>
        <v>31.404130295559256</v>
      </c>
      <c r="DE55" s="49">
        <f>CZ55+DB55-DD55</f>
        <v>1248.9762933491807</v>
      </c>
      <c r="DF55" s="50"/>
      <c r="DG55" s="50"/>
      <c r="DH55" s="66"/>
      <c r="DI55" s="64"/>
      <c r="DJ55" s="54">
        <f>(CL55-CL54)/CL54</f>
        <v>-5.3439978713664205E-3</v>
      </c>
      <c r="DK55" s="67"/>
      <c r="DL55" s="55">
        <v>1</v>
      </c>
      <c r="DM55" s="56"/>
      <c r="DN55" s="56"/>
      <c r="DO55" s="56"/>
      <c r="DP55" s="56"/>
      <c r="DQ55" s="56"/>
      <c r="DR55" s="56"/>
      <c r="DS55" s="57">
        <v>5</v>
      </c>
      <c r="DT55" s="58">
        <f>DS55*4500</f>
        <v>22500</v>
      </c>
      <c r="DU55" s="57">
        <v>20</v>
      </c>
      <c r="DV55" s="57">
        <f>DU55*1800</f>
        <v>36000</v>
      </c>
      <c r="DW55" s="59">
        <f>5*LN(DV55/DT55)+6</f>
        <v>8.3500181462286776</v>
      </c>
      <c r="DX55" s="60">
        <f>DX54-0.1</f>
        <v>4.9000000000000004</v>
      </c>
      <c r="DY55" s="61">
        <f>DX55*4500</f>
        <v>22050</v>
      </c>
      <c r="DZ55" s="68">
        <f>DZ54-0.21</f>
        <v>19.79</v>
      </c>
      <c r="EA55" s="68">
        <f>EA54+5</f>
        <v>1805</v>
      </c>
      <c r="EB55" s="61">
        <f>EA55*DZ55</f>
        <v>35720.949999999997</v>
      </c>
      <c r="EC55" s="61">
        <f>IF(DY55=0,NA(),EB55/DY55)</f>
        <v>1.6199977324263037</v>
      </c>
      <c r="ED55" s="62">
        <f>5*LN(EB55/DY55)+7.6</f>
        <v>10.012123747532318</v>
      </c>
      <c r="EE55" s="63" t="s">
        <v>45</v>
      </c>
      <c r="EF55" s="62"/>
      <c r="EG55" s="64">
        <v>1</v>
      </c>
    </row>
    <row r="56" spans="65:137">
      <c r="BM56" t="str">
        <f t="shared" si="0"/>
        <v/>
      </c>
      <c r="CJ56" s="40">
        <f>CJ55+1</f>
        <v>-10</v>
      </c>
      <c r="CK56" s="94"/>
      <c r="CL56" s="49">
        <f>DE55</f>
        <v>1248.9762933491807</v>
      </c>
      <c r="CM56" s="42">
        <f>IF($BR$5="S",DW56,IF($BR$5="F",ED56))</f>
        <v>8.3500181462286776</v>
      </c>
      <c r="CN56" s="43">
        <f>CZ55</f>
        <v>551.02404990801688</v>
      </c>
      <c r="CO56" s="44"/>
      <c r="CP56" s="65">
        <f>CN56*CO56</f>
        <v>0</v>
      </c>
      <c r="CQ56" s="69" t="str">
        <f>IF(CO55&gt;0,CN56*CO55,"")</f>
        <v/>
      </c>
      <c r="CR56" s="69"/>
      <c r="CS56" s="69"/>
      <c r="CT56" s="69"/>
      <c r="CU56" s="46">
        <f>CN56-SUM(CP56:CR56)</f>
        <v>551.02404990801688</v>
      </c>
      <c r="CV56" s="47">
        <f>DB55</f>
        <v>729.35637373672307</v>
      </c>
      <c r="CW56" s="47">
        <f>CU56/CM56</f>
        <v>65.99076076941094</v>
      </c>
      <c r="CX56" s="48">
        <f>CV56/12</f>
        <v>60.779697811393589</v>
      </c>
      <c r="CY56" s="47">
        <f>(CX56*$BS$41)-CX56</f>
        <v>24.311879124557436</v>
      </c>
      <c r="CZ56" s="49">
        <f>CU56-CW56+CX56+CY56</f>
        <v>570.12486607455696</v>
      </c>
      <c r="DA56" s="49">
        <f>CZ56-CN56</f>
        <v>19.100816166540085</v>
      </c>
      <c r="DB56" s="47">
        <f>IF(DB55&lt;2,0,CV56-CX56+CW56)</f>
        <v>734.56743669474042</v>
      </c>
      <c r="DC56" s="49">
        <f>DB56-CV56</f>
        <v>5.2110629580173509</v>
      </c>
      <c r="DD56" s="50">
        <f>(CN56+CX56*12)*0.025</f>
        <v>32.009510591118499</v>
      </c>
      <c r="DE56" s="49">
        <f>CZ56+DB56-DD56</f>
        <v>1272.6827921781789</v>
      </c>
      <c r="DF56" s="50">
        <f>DD56</f>
        <v>32.009510591118499</v>
      </c>
      <c r="DG56" s="51"/>
      <c r="DH56" s="52"/>
      <c r="DI56" s="53" t="str">
        <f>IF(CO56&gt;0,SUM(CP56:CR58)/CL56,"")</f>
        <v/>
      </c>
      <c r="DJ56" s="54">
        <f>(CL56-CL55)/CL55</f>
        <v>1.926756791735415E-2</v>
      </c>
      <c r="DK56" s="70"/>
      <c r="DL56" s="55">
        <v>2</v>
      </c>
      <c r="DM56" s="71"/>
      <c r="DN56" s="56"/>
      <c r="DO56" s="56"/>
      <c r="DP56" s="56"/>
      <c r="DQ56" s="56"/>
      <c r="DR56" s="56"/>
      <c r="DS56" s="57">
        <v>5</v>
      </c>
      <c r="DT56" s="58">
        <f>DS56*4500</f>
        <v>22500</v>
      </c>
      <c r="DU56" s="57">
        <v>20</v>
      </c>
      <c r="DV56" s="57">
        <f>DU56*1800</f>
        <v>36000</v>
      </c>
      <c r="DW56" s="59">
        <f>5*LN(DV56/DT56)+6</f>
        <v>8.3500181462286776</v>
      </c>
      <c r="DX56" s="60">
        <f>DX55-0.1</f>
        <v>4.8000000000000007</v>
      </c>
      <c r="DY56" s="61">
        <f>DX56*4500</f>
        <v>21600.000000000004</v>
      </c>
      <c r="DZ56" s="68">
        <f>DZ55-0.21</f>
        <v>19.579999999999998</v>
      </c>
      <c r="EA56" s="68">
        <f>EA55+5</f>
        <v>1810</v>
      </c>
      <c r="EB56" s="61">
        <f>EA56*DZ56</f>
        <v>35439.799999999996</v>
      </c>
      <c r="EC56" s="61">
        <f>IF(DY56=0,NA(),EB56/DY56)</f>
        <v>1.6407314814814811</v>
      </c>
      <c r="ED56" s="62">
        <f>5*LN(EB56/DY56)+7.6</f>
        <v>10.075710838449895</v>
      </c>
      <c r="EE56" s="63" t="s">
        <v>45</v>
      </c>
      <c r="EF56" s="62"/>
      <c r="EG56" s="64">
        <v>2</v>
      </c>
    </row>
    <row r="57" spans="65:137">
      <c r="BM57" t="str">
        <f t="shared" si="0"/>
        <v/>
      </c>
      <c r="CJ57" s="40">
        <f>CJ56+1</f>
        <v>-9</v>
      </c>
      <c r="CK57" s="94"/>
      <c r="CL57" s="49">
        <f>DE56</f>
        <v>1272.6827921781789</v>
      </c>
      <c r="CM57" s="42">
        <f>IF($BR$5="S",DW57,IF($BR$5="F",ED57))</f>
        <v>8.3500181462286776</v>
      </c>
      <c r="CN57" s="43">
        <f>CZ56</f>
        <v>570.12486607455696</v>
      </c>
      <c r="CO57" s="44"/>
      <c r="CP57" s="65">
        <f>CN57*CO57</f>
        <v>0</v>
      </c>
      <c r="CQ57" s="69" t="str">
        <f>IF(CO56&gt;0,CN57*CO56,"")</f>
        <v/>
      </c>
      <c r="CR57" s="69" t="str">
        <f>IF(CO55&gt;0,CN57*CO55,"")</f>
        <v/>
      </c>
      <c r="CS57" s="69"/>
      <c r="CT57" s="69"/>
      <c r="CU57" s="46">
        <f>CN57-SUM(CP57:CR57)</f>
        <v>570.12486607455696</v>
      </c>
      <c r="CV57" s="47">
        <f>DB56</f>
        <v>734.56743669474042</v>
      </c>
      <c r="CW57" s="47">
        <f>CU57/CM57</f>
        <v>68.278278692371032</v>
      </c>
      <c r="CX57" s="48">
        <f>CV57/12</f>
        <v>61.213953057895033</v>
      </c>
      <c r="CY57" s="47">
        <f>(CX57*$BS$41)-CX57</f>
        <v>24.485581223158015</v>
      </c>
      <c r="CZ57" s="49">
        <f>CU57-CW57+CX57+CY57</f>
        <v>587.54612166323898</v>
      </c>
      <c r="DA57" s="49">
        <f>CZ57-CN57</f>
        <v>17.421255588682016</v>
      </c>
      <c r="DB57" s="47">
        <f>IF(DB56&lt;2,0,CV57-CX57+CW57)</f>
        <v>741.63176232921637</v>
      </c>
      <c r="DC57" s="49">
        <f>DB57-CV57</f>
        <v>7.0643256344759493</v>
      </c>
      <c r="DD57" s="50">
        <f>(CN57+CX57*12)*0.025</f>
        <v>32.617307569232437</v>
      </c>
      <c r="DE57" s="49">
        <f>CZ57+DB57-DD57</f>
        <v>1296.560576423223</v>
      </c>
      <c r="DF57" s="50"/>
      <c r="DG57" s="51"/>
      <c r="DH57" s="52"/>
      <c r="DI57" s="53" t="str">
        <f>IF(CO55&gt;0,SUM(CP55:CR57)/CL55,"")</f>
        <v/>
      </c>
      <c r="DJ57" s="54">
        <f>(CL57-CL56)/CL56</f>
        <v>1.8980743633995129E-2</v>
      </c>
      <c r="DK57" s="70"/>
      <c r="DL57" s="55">
        <v>3</v>
      </c>
      <c r="DM57" s="71"/>
      <c r="DN57" s="56"/>
      <c r="DO57" s="56"/>
      <c r="DP57" s="56"/>
      <c r="DQ57" s="56"/>
      <c r="DR57" s="56"/>
      <c r="DS57" s="57">
        <v>5</v>
      </c>
      <c r="DT57" s="58">
        <f>DS57*4500</f>
        <v>22500</v>
      </c>
      <c r="DU57" s="57">
        <v>20</v>
      </c>
      <c r="DV57" s="57">
        <f>DU57*1800</f>
        <v>36000</v>
      </c>
      <c r="DW57" s="59">
        <f>5*LN(DV57/DT57)+6</f>
        <v>8.3500181462286776</v>
      </c>
      <c r="DX57" s="60">
        <f>DX56-0.1</f>
        <v>4.7000000000000011</v>
      </c>
      <c r="DY57" s="61">
        <f>DX57*4500</f>
        <v>21150.000000000004</v>
      </c>
      <c r="DZ57" s="68">
        <f>DZ56-0.21</f>
        <v>19.369999999999997</v>
      </c>
      <c r="EA57" s="68">
        <f>EA56+5</f>
        <v>1815</v>
      </c>
      <c r="EB57" s="61">
        <f>EA57*DZ57</f>
        <v>35156.549999999996</v>
      </c>
      <c r="EC57" s="61">
        <f>IF(DY57=0,NA(),EB57/DY57)</f>
        <v>1.662248226950354</v>
      </c>
      <c r="ED57" s="62">
        <f>5*LN(EB57/DY57)+7.6</f>
        <v>10.140855198217157</v>
      </c>
      <c r="EE57" s="63" t="s">
        <v>45</v>
      </c>
      <c r="EF57" s="62"/>
      <c r="EG57" s="64">
        <v>3</v>
      </c>
    </row>
    <row r="58" spans="65:137">
      <c r="BM58" t="str">
        <f t="shared" si="0"/>
        <v/>
      </c>
      <c r="CJ58" s="40">
        <f>CJ57+1</f>
        <v>-8</v>
      </c>
      <c r="CK58" s="94"/>
      <c r="CL58" s="49">
        <f>DE57</f>
        <v>1296.560576423223</v>
      </c>
      <c r="CM58" s="42">
        <f>IF($BR$5="S",DW58,IF($BR$5="F",ED58))</f>
        <v>8.3500181462286776</v>
      </c>
      <c r="CN58" s="43">
        <f>CZ57</f>
        <v>587.54612166323898</v>
      </c>
      <c r="CO58" s="44"/>
      <c r="CP58" s="65">
        <f>CN58*CO58</f>
        <v>0</v>
      </c>
      <c r="CQ58" s="69" t="str">
        <f>IF(CO57&gt;0,CN58*CO57,"")</f>
        <v/>
      </c>
      <c r="CR58" s="69" t="str">
        <f>IF(CO56&gt;0,CN58*CO56,"")</f>
        <v/>
      </c>
      <c r="CS58" s="69"/>
      <c r="CT58" s="69"/>
      <c r="CU58" s="46">
        <f>CN58-SUM(CP58:CR58)</f>
        <v>587.54612166323898</v>
      </c>
      <c r="CV58" s="47">
        <f>DB57</f>
        <v>741.63176232921637</v>
      </c>
      <c r="CW58" s="47">
        <f>CU58/CM58</f>
        <v>70.364652073074453</v>
      </c>
      <c r="CX58" s="48">
        <f>CV58/12</f>
        <v>61.802646860768029</v>
      </c>
      <c r="CY58" s="47">
        <f>(CX58*$BS$41)-CX58</f>
        <v>24.721058744307207</v>
      </c>
      <c r="CZ58" s="49">
        <f>CU58-CW58+CX58+CY58</f>
        <v>603.7051751952398</v>
      </c>
      <c r="DA58" s="49">
        <f>CZ58-CN58</f>
        <v>16.159053532000826</v>
      </c>
      <c r="DB58" s="47">
        <f>IF(DB57&lt;2,0,CV58-CX58+CW58)</f>
        <v>750.19376754152279</v>
      </c>
      <c r="DC58" s="49">
        <f>DB58-CV58</f>
        <v>8.562005212306417</v>
      </c>
      <c r="DD58" s="50">
        <f>(CN58+CX58*12)*0.025</f>
        <v>33.229447099811388</v>
      </c>
      <c r="DE58" s="49">
        <f>CZ58+DB58-DD58</f>
        <v>1320.6694956369513</v>
      </c>
      <c r="DF58" s="50">
        <f>DD58</f>
        <v>33.229447099811388</v>
      </c>
      <c r="DG58" s="51"/>
      <c r="DH58" s="52"/>
      <c r="DI58" s="53" t="str">
        <f>IF(CO56&gt;0,SUM(CP56:CR58)/CL56,"")</f>
        <v/>
      </c>
      <c r="DJ58" s="54">
        <f>(CL58-CL57)/CL57</f>
        <v>1.8761771897754305E-2</v>
      </c>
      <c r="DK58" s="70"/>
      <c r="DL58" s="55">
        <v>4</v>
      </c>
      <c r="DM58" s="71"/>
      <c r="DN58" s="56"/>
      <c r="DO58" s="56"/>
      <c r="DP58" s="56"/>
      <c r="DQ58" s="56"/>
      <c r="DR58" s="56"/>
      <c r="DS58" s="57">
        <v>5</v>
      </c>
      <c r="DT58" s="58">
        <f>DS58*4500</f>
        <v>22500</v>
      </c>
      <c r="DU58" s="57">
        <v>20</v>
      </c>
      <c r="DV58" s="57">
        <f>DU58*1800</f>
        <v>36000</v>
      </c>
      <c r="DW58" s="59">
        <f>5*LN(DV58/DT58)+6</f>
        <v>8.3500181462286776</v>
      </c>
      <c r="DX58" s="60">
        <f>DX57-0.1</f>
        <v>4.6000000000000014</v>
      </c>
      <c r="DY58" s="61">
        <f>DX58*4500</f>
        <v>20700.000000000007</v>
      </c>
      <c r="DZ58" s="68">
        <f>DZ57-0.21</f>
        <v>19.159999999999997</v>
      </c>
      <c r="EA58" s="68">
        <f>EA57+5</f>
        <v>1820</v>
      </c>
      <c r="EB58" s="61">
        <f>EA58*DZ58</f>
        <v>34871.199999999997</v>
      </c>
      <c r="EC58" s="61">
        <f>IF(DY58=0,NA(),EB58/DY58)</f>
        <v>1.6845990338164243</v>
      </c>
      <c r="ED58" s="62">
        <f>5*LN(EB58/DY58)+7.6</f>
        <v>10.207637866800471</v>
      </c>
      <c r="EE58" s="63" t="s">
        <v>45</v>
      </c>
      <c r="EF58" s="62"/>
      <c r="EG58" s="64">
        <v>4</v>
      </c>
    </row>
    <row r="59" spans="65:137">
      <c r="BM59" t="str">
        <f t="shared" si="0"/>
        <v/>
      </c>
      <c r="CJ59" s="40">
        <f>CJ58+1</f>
        <v>-7</v>
      </c>
      <c r="CK59" s="94"/>
      <c r="CL59" s="49">
        <f>DE58</f>
        <v>1320.6694956369513</v>
      </c>
      <c r="CM59" s="42">
        <f>IF($BR$5="S",DW59,IF($BR$5="F",ED59))</f>
        <v>8.3500181462286776</v>
      </c>
      <c r="CN59" s="43">
        <f>CZ58</f>
        <v>603.7051751952398</v>
      </c>
      <c r="CO59" s="44"/>
      <c r="CP59" s="65">
        <f>CN59*CO59</f>
        <v>0</v>
      </c>
      <c r="CQ59" s="69" t="str">
        <f>IF(CO58&gt;0,CN59*CO58,"")</f>
        <v/>
      </c>
      <c r="CR59" s="69" t="str">
        <f>IF(CO57&gt;0,CN59*CO57,"")</f>
        <v/>
      </c>
      <c r="CS59" s="69"/>
      <c r="CT59" s="69"/>
      <c r="CU59" s="46">
        <f>CN59-SUM(CP59:CR59)</f>
        <v>603.7051751952398</v>
      </c>
      <c r="CV59" s="47">
        <f>DB58</f>
        <v>750.19376754152279</v>
      </c>
      <c r="CW59" s="47">
        <f>CU59/CM59</f>
        <v>72.299863859326564</v>
      </c>
      <c r="CX59" s="48">
        <f>CV59/12</f>
        <v>62.516147295126899</v>
      </c>
      <c r="CY59" s="47">
        <f>(CX59*$BS$41)-CX59</f>
        <v>25.006458918050754</v>
      </c>
      <c r="CZ59" s="49">
        <f>CU59-CW59+CX59+CY59</f>
        <v>618.92791754909081</v>
      </c>
      <c r="DA59" s="49">
        <f>CZ59-CN59</f>
        <v>15.222742353851004</v>
      </c>
      <c r="DB59" s="47">
        <f>IF(DB58&lt;2,0,CV59-CX59+CW59)</f>
        <v>759.97748410572251</v>
      </c>
      <c r="DC59" s="49">
        <f>DB59-CV59</f>
        <v>9.7837165641997217</v>
      </c>
      <c r="DD59" s="50">
        <f>(CN59+CX59*12)*0.025</f>
        <v>33.847473568419069</v>
      </c>
      <c r="DE59" s="49">
        <f>CZ59+DB59-DD59</f>
        <v>1345.0579280863944</v>
      </c>
      <c r="DF59" s="50"/>
      <c r="DG59" s="51"/>
      <c r="DH59" s="52"/>
      <c r="DI59" s="53" t="str">
        <f>IF(CO57&gt;0,SUM(CP57:CR59)/CL57,"")</f>
        <v/>
      </c>
      <c r="DJ59" s="54">
        <f>(CL59-CL58)/CL58</f>
        <v>1.8594518183050697E-2</v>
      </c>
      <c r="DK59" s="70"/>
      <c r="DL59" s="55">
        <v>5</v>
      </c>
      <c r="DM59" s="56"/>
      <c r="DN59" s="56"/>
      <c r="DO59" s="56"/>
      <c r="DP59" s="56"/>
      <c r="DQ59" s="56"/>
      <c r="DR59" s="56"/>
      <c r="DS59" s="57">
        <v>5</v>
      </c>
      <c r="DT59" s="58">
        <f>DS59*4500</f>
        <v>22500</v>
      </c>
      <c r="DU59" s="57">
        <v>20</v>
      </c>
      <c r="DV59" s="57">
        <f>DU59*1800</f>
        <v>36000</v>
      </c>
      <c r="DW59" s="59">
        <f>5*LN(DV59/DT59)+6</f>
        <v>8.3500181462286776</v>
      </c>
      <c r="DX59" s="60">
        <f>DX58-0.1</f>
        <v>4.5000000000000018</v>
      </c>
      <c r="DY59" s="61">
        <f>DX59*4500</f>
        <v>20250.000000000007</v>
      </c>
      <c r="DZ59" s="68">
        <f>DZ58-0.21</f>
        <v>18.949999999999996</v>
      </c>
      <c r="EA59" s="68">
        <f>EA58+5</f>
        <v>1825</v>
      </c>
      <c r="EB59" s="61">
        <f>EA59*DZ59</f>
        <v>34583.749999999993</v>
      </c>
      <c r="EC59" s="61">
        <f>IF(DY59=0,NA(),EB59/DY59)</f>
        <v>1.7078395061728386</v>
      </c>
      <c r="ED59" s="62">
        <f>5*LN(EB59/DY59)+7.6</f>
        <v>10.276145625051708</v>
      </c>
      <c r="EE59" s="63" t="s">
        <v>45</v>
      </c>
      <c r="EF59" s="62"/>
      <c r="EG59" s="64">
        <v>5</v>
      </c>
    </row>
    <row r="60" spans="65:137">
      <c r="BM60" t="str">
        <f t="shared" si="0"/>
        <v/>
      </c>
      <c r="CJ60" s="40">
        <f>CJ59+1</f>
        <v>-6</v>
      </c>
      <c r="CK60" s="94"/>
      <c r="CL60" s="49">
        <f>DE59</f>
        <v>1345.0579280863944</v>
      </c>
      <c r="CM60" s="42">
        <f>IF($BR$5="S",DW60,IF($BR$5="F",ED60))</f>
        <v>8.3500181462286776</v>
      </c>
      <c r="CN60" s="43">
        <f>CZ59</f>
        <v>618.92791754909081</v>
      </c>
      <c r="CO60" s="44"/>
      <c r="CP60" s="65">
        <f>CN60*CO60</f>
        <v>0</v>
      </c>
      <c r="CQ60" s="69" t="str">
        <f>IF(CO59&gt;0,CN60*CO59,"")</f>
        <v/>
      </c>
      <c r="CR60" s="69" t="str">
        <f>IF(CO58&gt;0,CN60*CO58,"")</f>
        <v/>
      </c>
      <c r="CS60" s="69"/>
      <c r="CT60" s="69"/>
      <c r="CU60" s="46">
        <f>CN60-SUM(CP60:CR60)</f>
        <v>618.92791754909081</v>
      </c>
      <c r="CV60" s="47">
        <f>DB59</f>
        <v>759.97748410572251</v>
      </c>
      <c r="CW60" s="47">
        <f>CU60/CM60</f>
        <v>74.122942814038353</v>
      </c>
      <c r="CX60" s="48">
        <f>CV60/12</f>
        <v>63.331457008810212</v>
      </c>
      <c r="CY60" s="47">
        <f>(CX60*$BS$41)-CX60</f>
        <v>25.332582803524083</v>
      </c>
      <c r="CZ60" s="49">
        <f>CU60-CW60+CX60+CY60</f>
        <v>633.46901454738679</v>
      </c>
      <c r="DA60" s="49">
        <f>CZ60-CN60</f>
        <v>14.541096998295984</v>
      </c>
      <c r="DB60" s="47">
        <f>IF(DB59&lt;2,0,CV60-CX60+CW60)</f>
        <v>770.76896991095066</v>
      </c>
      <c r="DC60" s="49">
        <f>DB60-CV60</f>
        <v>10.791485805228149</v>
      </c>
      <c r="DD60" s="50">
        <f>(CN60+CX60*12)*0.025</f>
        <v>34.472635041370339</v>
      </c>
      <c r="DE60" s="49">
        <f>CZ60+DB60-DD60</f>
        <v>1369.7653494169672</v>
      </c>
      <c r="DF60" s="50">
        <f>DD60</f>
        <v>34.472635041370339</v>
      </c>
      <c r="DG60" s="51"/>
      <c r="DH60" s="52"/>
      <c r="DI60" s="53" t="str">
        <f>IF(CO58&gt;0,SUM(CP58:CR60)/CL58,"")</f>
        <v/>
      </c>
      <c r="DJ60" s="54">
        <f>(CL60-CL59)/CL59</f>
        <v>1.8466718986100868E-2</v>
      </c>
      <c r="DK60" s="70"/>
      <c r="DL60" s="55">
        <v>6</v>
      </c>
      <c r="DM60" s="56"/>
      <c r="DN60" s="56"/>
      <c r="DO60" s="72"/>
      <c r="DP60" s="72"/>
      <c r="DQ60" s="72"/>
      <c r="DR60" s="72"/>
      <c r="DS60" s="57">
        <v>5</v>
      </c>
      <c r="DT60" s="58">
        <f>DS60*4500</f>
        <v>22500</v>
      </c>
      <c r="DU60" s="57">
        <v>20</v>
      </c>
      <c r="DV60" s="57">
        <f>DU60*1800</f>
        <v>36000</v>
      </c>
      <c r="DW60" s="59">
        <f>5*LN(DV60/DT60)+6</f>
        <v>8.3500181462286776</v>
      </c>
      <c r="DX60" s="60">
        <f>DX59-0.1</f>
        <v>4.4000000000000021</v>
      </c>
      <c r="DY60" s="61">
        <f>DX60*4500</f>
        <v>19800.000000000011</v>
      </c>
      <c r="DZ60" s="68">
        <f>DZ59-0.21</f>
        <v>18.739999999999995</v>
      </c>
      <c r="EA60" s="68">
        <f>EA59+5</f>
        <v>1830</v>
      </c>
      <c r="EB60" s="61">
        <f>EA60*DZ60</f>
        <v>34294.19999999999</v>
      </c>
      <c r="EC60" s="61">
        <f>IF(DY60=0,NA(),EB60/DY60)</f>
        <v>1.7320303030303015</v>
      </c>
      <c r="ED60" s="62">
        <f>5*LN(EB60/DY60)+7.6</f>
        <v>10.346471529815576</v>
      </c>
      <c r="EE60" s="63" t="s">
        <v>45</v>
      </c>
      <c r="EF60" s="62"/>
      <c r="EG60" s="64">
        <v>6</v>
      </c>
    </row>
    <row r="61" spans="65:137">
      <c r="BM61" t="str">
        <f t="shared" si="0"/>
        <v/>
      </c>
      <c r="CJ61" s="40">
        <f>CJ60+1</f>
        <v>-5</v>
      </c>
      <c r="CK61" s="94"/>
      <c r="CL61" s="49">
        <f>DE60</f>
        <v>1369.7653494169672</v>
      </c>
      <c r="CM61" s="42">
        <f>IF($BR$5="S",DW61,IF($BR$5="F",ED61))</f>
        <v>8.3500181462286776</v>
      </c>
      <c r="CN61" s="43">
        <f>CZ60</f>
        <v>633.46901454738679</v>
      </c>
      <c r="CO61" s="44"/>
      <c r="CP61" s="65">
        <f>CN61*CO61</f>
        <v>0</v>
      </c>
      <c r="CQ61" s="69" t="str">
        <f>IF(CO60&gt;0,CN61*CO60,"")</f>
        <v/>
      </c>
      <c r="CR61" s="69" t="str">
        <f>IF(CO59&gt;0,CN61*CO59,"")</f>
        <v/>
      </c>
      <c r="CS61" s="69"/>
      <c r="CT61" s="69"/>
      <c r="CU61" s="46">
        <f>CN61-SUM(CP61:CR61)</f>
        <v>633.46901454738679</v>
      </c>
      <c r="CV61" s="47">
        <f>DB60</f>
        <v>770.76896991095066</v>
      </c>
      <c r="CW61" s="47">
        <f>CU61/CM61</f>
        <v>75.864387771839262</v>
      </c>
      <c r="CX61" s="48">
        <f>CV61/12</f>
        <v>64.230747492579226</v>
      </c>
      <c r="CY61" s="47">
        <f>(CX61*$BS$41)-CX61</f>
        <v>25.692298997031685</v>
      </c>
      <c r="CZ61" s="49">
        <f>CU61-CW61+CX61+CY61</f>
        <v>647.52767326515846</v>
      </c>
      <c r="DA61" s="49">
        <f>CZ61-CN61</f>
        <v>14.058658717771664</v>
      </c>
      <c r="DB61" s="47">
        <f>IF(DB60&lt;2,0,CV61-CX61+CW61)</f>
        <v>782.40261019021068</v>
      </c>
      <c r="DC61" s="49">
        <f>DB61-CV61</f>
        <v>11.633640279260021</v>
      </c>
      <c r="DD61" s="50">
        <f>(CN61+CX61*12)*0.025</f>
        <v>35.105949611458435</v>
      </c>
      <c r="DE61" s="49">
        <f>CZ61+DB61-DD61</f>
        <v>1394.8243338439106</v>
      </c>
      <c r="DF61" s="50"/>
      <c r="DG61" s="51"/>
      <c r="DH61" s="52"/>
      <c r="DI61" s="53" t="str">
        <f>IF(CO59&gt;0,SUM(CP59:CR61)/CL59,"")</f>
        <v/>
      </c>
      <c r="DJ61" s="54">
        <f>(CL61-CL60)/CL60</f>
        <v>1.8369038845578819E-2</v>
      </c>
      <c r="DK61" s="70"/>
      <c r="DL61" s="55">
        <v>7</v>
      </c>
      <c r="DM61" s="56"/>
      <c r="DN61" s="56"/>
      <c r="DO61" s="56"/>
      <c r="DP61" s="56"/>
      <c r="DQ61" s="56"/>
      <c r="DR61" s="56"/>
      <c r="DS61" s="57">
        <v>5</v>
      </c>
      <c r="DT61" s="58">
        <f>DS61*4500</f>
        <v>22500</v>
      </c>
      <c r="DU61" s="57">
        <v>20</v>
      </c>
      <c r="DV61" s="57">
        <f>DU61*1800</f>
        <v>36000</v>
      </c>
      <c r="DW61" s="59">
        <f>5*LN(DV61/DT61)+6</f>
        <v>8.3500181462286776</v>
      </c>
      <c r="DX61" s="60">
        <f>DX60-0.1</f>
        <v>4.3000000000000025</v>
      </c>
      <c r="DY61" s="61">
        <f>DX61*4500</f>
        <v>19350.000000000011</v>
      </c>
      <c r="DZ61" s="68">
        <f>DZ60-0.21</f>
        <v>18.529999999999994</v>
      </c>
      <c r="EA61" s="68">
        <f>EA60+5</f>
        <v>1835</v>
      </c>
      <c r="EB61" s="61">
        <f>EA61*DZ61</f>
        <v>34002.549999999988</v>
      </c>
      <c r="EC61" s="61">
        <f>IF(DY61=0,NA(),EB61/DY61)</f>
        <v>1.7572377260981895</v>
      </c>
      <c r="ED61" s="62">
        <f>5*LN(EB61/DY61)+7.6</f>
        <v>10.41871551164005</v>
      </c>
      <c r="EE61" s="63" t="s">
        <v>45</v>
      </c>
      <c r="EF61" s="62"/>
      <c r="EG61" s="64">
        <v>7</v>
      </c>
    </row>
    <row r="62" spans="65:137">
      <c r="BM62" t="str">
        <f t="shared" si="0"/>
        <v/>
      </c>
      <c r="CJ62" s="40">
        <f>CJ61+1</f>
        <v>-4</v>
      </c>
      <c r="CK62" s="95"/>
      <c r="CL62" s="49">
        <f>DE61</f>
        <v>1394.8243338439106</v>
      </c>
      <c r="CM62" s="42">
        <f>IF($BR$5="S",DW62,IF($BR$5="F",ED62))</f>
        <v>8.3500181462286776</v>
      </c>
      <c r="CN62" s="43">
        <f>CZ61</f>
        <v>647.52767326515846</v>
      </c>
      <c r="CO62" s="44"/>
      <c r="CP62" s="65">
        <f>CN62*CO62</f>
        <v>0</v>
      </c>
      <c r="CQ62" s="69" t="str">
        <f>IF(CO61&gt;0,CN62*CO61,"")</f>
        <v/>
      </c>
      <c r="CR62" s="69" t="str">
        <f>IF(CO60&gt;0,CN62*CO60,"")</f>
        <v/>
      </c>
      <c r="CS62" s="69"/>
      <c r="CT62" s="69"/>
      <c r="CU62" s="46">
        <f>CN62-SUM(CP62:CR62)</f>
        <v>647.52767326515846</v>
      </c>
      <c r="CV62" s="47">
        <f>DB61</f>
        <v>782.40261019021068</v>
      </c>
      <c r="CW62" s="47">
        <f>CU62/CM62</f>
        <v>77.548055815617261</v>
      </c>
      <c r="CX62" s="48">
        <f>CV62/12</f>
        <v>65.200217515850895</v>
      </c>
      <c r="CY62" s="47">
        <f>(CX62*$BS$41)-CX62</f>
        <v>26.080087006340349</v>
      </c>
      <c r="CZ62" s="49">
        <f>CU62-CW62+CX62+CY62</f>
        <v>661.25992197173241</v>
      </c>
      <c r="DA62" s="49">
        <f>CZ62-CN62</f>
        <v>13.732248706573955</v>
      </c>
      <c r="DB62" s="47">
        <f>IF(DB61&lt;2,0,CV62-CX62+CW62)</f>
        <v>794.75044848997709</v>
      </c>
      <c r="DC62" s="49">
        <f>DB62-CV62</f>
        <v>12.347838299766408</v>
      </c>
      <c r="DD62" s="50">
        <f>(CN62+CX62*12)*0.025</f>
        <v>35.748257086384228</v>
      </c>
      <c r="DE62" s="49">
        <f>CZ62+DB62-DD62</f>
        <v>1420.2621133753253</v>
      </c>
      <c r="DF62" s="50">
        <f>DD62</f>
        <v>35.748257086384228</v>
      </c>
      <c r="DG62" s="51"/>
      <c r="DH62" s="52"/>
      <c r="DI62" s="53" t="str">
        <f>IF(CO60&gt;0,SUM(CP60:CR62)/CL60,"")</f>
        <v/>
      </c>
      <c r="DJ62" s="54">
        <f>(CL62-CL61)/CL61</f>
        <v>1.8294362926912729E-2</v>
      </c>
      <c r="DK62" s="70"/>
      <c r="DL62" s="55">
        <v>8</v>
      </c>
      <c r="DM62" s="56"/>
      <c r="DN62" s="56"/>
      <c r="DO62" s="56"/>
      <c r="DP62" s="72"/>
      <c r="DQ62" s="72"/>
      <c r="DR62" s="72"/>
      <c r="DS62" s="57">
        <v>5</v>
      </c>
      <c r="DT62" s="58">
        <f>DS62*4500</f>
        <v>22500</v>
      </c>
      <c r="DU62" s="57">
        <v>20</v>
      </c>
      <c r="DV62" s="57">
        <f>DU62*1800</f>
        <v>36000</v>
      </c>
      <c r="DW62" s="59">
        <f>5*LN(DV62/DT62)+6</f>
        <v>8.3500181462286776</v>
      </c>
      <c r="DX62" s="60">
        <f>DX61-0.1</f>
        <v>4.2000000000000028</v>
      </c>
      <c r="DY62" s="61">
        <f>DX62*4500</f>
        <v>18900.000000000015</v>
      </c>
      <c r="DZ62" s="68">
        <f>DZ61-0.21</f>
        <v>18.319999999999993</v>
      </c>
      <c r="EA62" s="68">
        <f>EA61+5</f>
        <v>1840</v>
      </c>
      <c r="EB62" s="61">
        <f>DZ62*EA62</f>
        <v>33708.799999999988</v>
      </c>
      <c r="EC62" s="61">
        <f>IF(DY62=0,NA(),EB62/DY62)</f>
        <v>1.7835343915343895</v>
      </c>
      <c r="ED62" s="62">
        <f>5*LN(EB62/DY62)+7.6</f>
        <v>10.492985044006403</v>
      </c>
      <c r="EE62" s="63" t="s">
        <v>45</v>
      </c>
      <c r="EF62" s="62"/>
      <c r="EG62" s="64">
        <v>8</v>
      </c>
    </row>
    <row r="63" spans="65:137">
      <c r="BM63" t="str">
        <f t="shared" ref="BM63:BM98" si="1">LEFT(BL63,3)</f>
        <v/>
      </c>
      <c r="CH63" s="102" t="s">
        <v>51</v>
      </c>
      <c r="CI63" s="103"/>
      <c r="CJ63" s="40">
        <f>CJ62+1</f>
        <v>-3</v>
      </c>
      <c r="CK63" s="104" t="s">
        <v>52</v>
      </c>
      <c r="CL63" s="49">
        <f>DE62</f>
        <v>1420.2621133753253</v>
      </c>
      <c r="CM63" s="42">
        <f>IF($BR$5="S",DW63,IF($BR$5="F",ED63))</f>
        <v>8.3500181462286776</v>
      </c>
      <c r="CN63" s="43">
        <f>CZ62</f>
        <v>661.25992197173241</v>
      </c>
      <c r="CO63" s="44"/>
      <c r="CP63" s="65">
        <f>CN63*CO63</f>
        <v>0</v>
      </c>
      <c r="CQ63" s="69" t="str">
        <f>IF(CO62&gt;0,CN63*CO62,"")</f>
        <v/>
      </c>
      <c r="CR63" s="69" t="str">
        <f>IF(CO61&gt;0,CN63*CO61,"")</f>
        <v/>
      </c>
      <c r="CS63" s="69"/>
      <c r="CT63" s="69"/>
      <c r="CU63" s="46">
        <f>CN63-SUM(CP63:CR63)</f>
        <v>661.25992197173241</v>
      </c>
      <c r="CV63" s="47">
        <f>DB62</f>
        <v>794.75044848997709</v>
      </c>
      <c r="CW63" s="47">
        <f>CU63/CM63</f>
        <v>79.192632925042602</v>
      </c>
      <c r="CX63" s="48">
        <f>CV63/12</f>
        <v>66.229204040831419</v>
      </c>
      <c r="CY63" s="47">
        <f>(CX63*$BS$41)-CX63</f>
        <v>26.491681616332556</v>
      </c>
      <c r="CZ63" s="49">
        <f>CU63-CW63+CX63+CY63</f>
        <v>674.78817470385377</v>
      </c>
      <c r="DA63" s="49">
        <f>CZ63-CN63</f>
        <v>13.528252732121359</v>
      </c>
      <c r="DB63" s="47">
        <f>IF(DB62&lt;2,0,CV63-CX63+CW63)</f>
        <v>807.71387737418831</v>
      </c>
      <c r="DC63" s="49">
        <f>DB63-CV63</f>
        <v>12.963428884211226</v>
      </c>
      <c r="DD63" s="50">
        <f>(CN63+CX63*12)*0.025</f>
        <v>36.400259261542736</v>
      </c>
      <c r="DE63" s="49">
        <f>CZ63+DB63-DD63</f>
        <v>1446.1017928164995</v>
      </c>
      <c r="DF63" s="50"/>
      <c r="DG63" s="51"/>
      <c r="DH63" s="52"/>
      <c r="DI63" s="53" t="str">
        <f>IF(CO61&gt;0,SUM(CP61:CR63)/CL61,"")</f>
        <v/>
      </c>
      <c r="DJ63" s="54">
        <f>(CL63-CL62)/CL62</f>
        <v>1.8237263943705548E-2</v>
      </c>
      <c r="DK63" s="70"/>
      <c r="DL63" s="55">
        <v>9</v>
      </c>
      <c r="DM63" s="56"/>
      <c r="DN63" s="56"/>
      <c r="DO63" s="56"/>
      <c r="DP63" s="56"/>
      <c r="DQ63" s="56"/>
      <c r="DR63" s="56"/>
      <c r="DS63" s="57">
        <v>5</v>
      </c>
      <c r="DT63" s="58">
        <f>DS63*4500</f>
        <v>22500</v>
      </c>
      <c r="DU63" s="57">
        <v>20</v>
      </c>
      <c r="DV63" s="57">
        <f>DU63*1800</f>
        <v>36000</v>
      </c>
      <c r="DW63" s="59">
        <f>5*LN(DV63/DT63)+6</f>
        <v>8.3500181462286776</v>
      </c>
      <c r="DX63" s="60">
        <f>DX62-0.1</f>
        <v>4.1000000000000032</v>
      </c>
      <c r="DY63" s="61">
        <f>DX63*4500</f>
        <v>18450.000000000015</v>
      </c>
      <c r="DZ63" s="68">
        <f>DZ62-0.21</f>
        <v>18.109999999999992</v>
      </c>
      <c r="EA63" s="68">
        <f>EA62+5</f>
        <v>1845</v>
      </c>
      <c r="EB63" s="61">
        <f>DZ63*EA63</f>
        <v>33412.949999999983</v>
      </c>
      <c r="EC63" s="61">
        <f>IF(DY63=0,NA(),EB63/DY63)</f>
        <v>1.8109999999999977</v>
      </c>
      <c r="ED63" s="62">
        <f>5*LN(EB63/DY63)+7.6</f>
        <v>10.569395894506375</v>
      </c>
      <c r="EE63" s="63" t="s">
        <v>45</v>
      </c>
      <c r="EF63" s="62"/>
      <c r="EG63" s="64">
        <v>9</v>
      </c>
    </row>
    <row r="64" spans="65:137">
      <c r="BM64" t="str">
        <f t="shared" si="1"/>
        <v/>
      </c>
      <c r="CH64" s="17" t="s">
        <v>11</v>
      </c>
      <c r="CI64" s="18">
        <f>0.8213</f>
        <v>0.82130000000000003</v>
      </c>
      <c r="CJ64" s="40">
        <f>CJ63+1</f>
        <v>-2</v>
      </c>
      <c r="CK64" s="105"/>
      <c r="CL64" s="49">
        <f>DE63</f>
        <v>1446.1017928164995</v>
      </c>
      <c r="CM64" s="42">
        <f>IF($BR$5="S",DW64,IF($BR$5="F",ED64))</f>
        <v>8.3500181462286776</v>
      </c>
      <c r="CN64" s="43">
        <f>CZ63</f>
        <v>674.78817470385377</v>
      </c>
      <c r="CO64" s="44"/>
      <c r="CP64" s="65">
        <f>CN64*CO64</f>
        <v>0</v>
      </c>
      <c r="CQ64" s="69" t="str">
        <f>IF(CO63&gt;0,CN64*CO63,"")</f>
        <v/>
      </c>
      <c r="CR64" s="69" t="str">
        <f>IF(CO62&gt;0,CN64*CO62,"")</f>
        <v/>
      </c>
      <c r="CS64" s="69"/>
      <c r="CT64" s="69"/>
      <c r="CU64" s="46">
        <f>CN64-SUM(CP64:CR64)</f>
        <v>674.78817470385377</v>
      </c>
      <c r="CV64" s="47">
        <f>DB63</f>
        <v>807.71387737418831</v>
      </c>
      <c r="CW64" s="47">
        <f>CU64/CM64</f>
        <v>80.8127794319375</v>
      </c>
      <c r="CX64" s="48">
        <f>CV64/12</f>
        <v>67.309489781182364</v>
      </c>
      <c r="CY64" s="47">
        <f>(CX64*$BS$41)-CX64</f>
        <v>26.92379591247294</v>
      </c>
      <c r="CZ64" s="49">
        <f>CU64-CW64+CX64+CY64</f>
        <v>688.2086809655716</v>
      </c>
      <c r="DA64" s="49">
        <f>CZ64-CN64</f>
        <v>13.420506261717833</v>
      </c>
      <c r="DB64" s="47">
        <f>IF(DB63&lt;2,0,CV64-CX64+CW64)</f>
        <v>821.21716702494348</v>
      </c>
      <c r="DC64" s="49">
        <f>DB64-CV64</f>
        <v>13.503289650755164</v>
      </c>
      <c r="DD64" s="50">
        <f>(CN64+CX64*12)*0.025</f>
        <v>37.062551301951054</v>
      </c>
      <c r="DE64" s="49">
        <f>CZ64+DB64-DD64</f>
        <v>1472.3632966885641</v>
      </c>
      <c r="DF64" s="50">
        <f>DD64</f>
        <v>37.062551301951054</v>
      </c>
      <c r="DG64" s="51"/>
      <c r="DH64" s="52"/>
      <c r="DI64" s="53" t="str">
        <f>IF(CO62&gt;0,SUM(CP62:CR64)/CL62,"")</f>
        <v/>
      </c>
      <c r="DJ64" s="54">
        <f>(CL64-CL63)/CL63</f>
        <v>1.8193599053181034E-2</v>
      </c>
      <c r="DK64" s="70"/>
      <c r="DL64" s="55">
        <v>10</v>
      </c>
      <c r="DM64" s="56"/>
      <c r="DN64" s="56"/>
      <c r="DO64" s="56"/>
      <c r="DP64" s="56"/>
      <c r="DQ64" s="56"/>
      <c r="DR64" s="56"/>
      <c r="DS64" s="57">
        <v>5</v>
      </c>
      <c r="DT64" s="58">
        <f>DS64*4500</f>
        <v>22500</v>
      </c>
      <c r="DU64" s="57">
        <v>20</v>
      </c>
      <c r="DV64" s="57">
        <f>DU64*1800</f>
        <v>36000</v>
      </c>
      <c r="DW64" s="59">
        <f>5*LN(DV64/DT64)+6</f>
        <v>8.3500181462286776</v>
      </c>
      <c r="DX64" s="60">
        <f>DX63-0.1</f>
        <v>4.0000000000000036</v>
      </c>
      <c r="DY64" s="61">
        <f>DX64*4500</f>
        <v>18000.000000000015</v>
      </c>
      <c r="DZ64" s="68">
        <f>DZ63-0.21</f>
        <v>17.899999999999991</v>
      </c>
      <c r="EA64" s="68">
        <f>EA63+5</f>
        <v>1850</v>
      </c>
      <c r="EB64" s="61">
        <f>DZ64*EA64</f>
        <v>33114.999999999985</v>
      </c>
      <c r="EC64" s="61">
        <f>IF(DY64=0,NA(),EB64/DY64)</f>
        <v>1.8397222222222198</v>
      </c>
      <c r="ED64" s="62">
        <f>5*LN(EB64/DY64)+7.6</f>
        <v>10.648072970203884</v>
      </c>
      <c r="EE64" s="63" t="s">
        <v>45</v>
      </c>
      <c r="EF64" s="62"/>
      <c r="EG64" s="64">
        <v>10</v>
      </c>
    </row>
    <row r="65" spans="65:137">
      <c r="BM65" t="str">
        <f t="shared" si="1"/>
        <v/>
      </c>
      <c r="CH65" s="17" t="s">
        <v>53</v>
      </c>
      <c r="CI65" s="18">
        <v>0.83620000000000005</v>
      </c>
      <c r="CJ65" s="40">
        <f>CJ64+1</f>
        <v>-1</v>
      </c>
      <c r="CK65" s="105"/>
      <c r="CL65" s="48">
        <f>DE64</f>
        <v>1472.3632966885641</v>
      </c>
      <c r="CM65" s="73">
        <f>IF($BR$5="S",DW65,IF($BR$5="F",ED65))</f>
        <v>8.3500181462286776</v>
      </c>
      <c r="CN65" s="48">
        <f>CZ64</f>
        <v>688.2086809655716</v>
      </c>
      <c r="CO65" s="56"/>
      <c r="CP65" s="74">
        <f>CN65*CO65</f>
        <v>0</v>
      </c>
      <c r="CQ65" s="48" t="str">
        <f>IF(CO64&gt;0,CN65*CO64,"")</f>
        <v/>
      </c>
      <c r="CR65" s="48" t="str">
        <f>IF(CO63&gt;0,CN65*CO63,"")</f>
        <v/>
      </c>
      <c r="CS65" s="48"/>
      <c r="CT65" s="48"/>
      <c r="CU65" s="75">
        <f>CN65-SUM(CP65:CR65)</f>
        <v>688.2086809655716</v>
      </c>
      <c r="CV65" s="48">
        <f>DB64</f>
        <v>821.21716702494348</v>
      </c>
      <c r="CW65" s="48">
        <f>CU65/CM65</f>
        <v>82.420022197964215</v>
      </c>
      <c r="CX65" s="48">
        <f>CV65/12</f>
        <v>68.43476391874529</v>
      </c>
      <c r="CY65" s="48">
        <f>(CX65*$BS$41)-CX65</f>
        <v>27.373905567498113</v>
      </c>
      <c r="CZ65" s="48">
        <f>CU65-CW65+CX65+CY65</f>
        <v>701.59732825385072</v>
      </c>
      <c r="DA65" s="48"/>
      <c r="DB65" s="48">
        <f>IF(DB64&lt;2,0,CV65-CX65+CW65)</f>
        <v>835.20242530416249</v>
      </c>
      <c r="DC65" s="48">
        <f>DB65-CV65</f>
        <v>13.985258279219011</v>
      </c>
      <c r="DD65" s="76">
        <f>(CN65+CX65*12)*0.025</f>
        <v>37.735646199762883</v>
      </c>
      <c r="DE65" s="48">
        <f>CZ65+DB65-DD65</f>
        <v>1499.0641073582503</v>
      </c>
      <c r="DF65" s="76"/>
      <c r="DG65" s="77"/>
      <c r="DH65" s="77"/>
      <c r="DI65" s="78" t="str">
        <f>IF(CO63&gt;0,SUM(CP63:CR65)/CL63,"")</f>
        <v/>
      </c>
      <c r="DJ65" s="79">
        <f>(CL65-CL64)/CL64</f>
        <v>1.8160204214197409E-2</v>
      </c>
      <c r="DK65" s="80"/>
      <c r="DL65" s="40">
        <v>11</v>
      </c>
      <c r="DM65" s="56"/>
      <c r="DN65" s="56"/>
      <c r="DO65" s="56"/>
      <c r="DP65" s="56"/>
      <c r="DQ65" s="72"/>
      <c r="DR65" s="72"/>
      <c r="DS65" s="48">
        <v>5</v>
      </c>
      <c r="DT65" s="81">
        <f>DS65*4500</f>
        <v>22500</v>
      </c>
      <c r="DU65" s="48">
        <v>20</v>
      </c>
      <c r="DV65" s="48">
        <f>DU65*1800</f>
        <v>36000</v>
      </c>
      <c r="DW65" s="73">
        <f>5*LN(DV65/DT65)+6</f>
        <v>8.3500181462286776</v>
      </c>
      <c r="DX65" s="73">
        <f>DX64-0.1</f>
        <v>3.9000000000000035</v>
      </c>
      <c r="DY65" s="81">
        <f>DX65*4500</f>
        <v>17550.000000000015</v>
      </c>
      <c r="DZ65" s="48">
        <f>DZ64-0.21</f>
        <v>17.689999999999991</v>
      </c>
      <c r="EA65" s="48">
        <f>EA64+5</f>
        <v>1855</v>
      </c>
      <c r="EB65" s="81">
        <f>DZ65*EA65</f>
        <v>32814.949999999983</v>
      </c>
      <c r="EC65" s="81">
        <f>IF(DY65=0,NA(),EB65/DY65)</f>
        <v>1.8697977207977183</v>
      </c>
      <c r="ED65" s="82">
        <f>5*LN(EB65/DY65)+7.6</f>
        <v>10.729151271596081</v>
      </c>
      <c r="EE65" s="83" t="s">
        <v>45</v>
      </c>
      <c r="EF65" s="82"/>
      <c r="EG65" s="71">
        <v>11</v>
      </c>
    </row>
    <row r="66" spans="65:137">
      <c r="BM66" t="str">
        <f t="shared" si="1"/>
        <v/>
      </c>
      <c r="CI66" s="19">
        <v>46280</v>
      </c>
      <c r="CJ66" s="49">
        <v>0</v>
      </c>
      <c r="CK66" s="106"/>
      <c r="CL66" s="47">
        <f>DE65</f>
        <v>1499.0641073582503</v>
      </c>
      <c r="CM66" s="42">
        <f>IF($BR$5="S",DW66,IF($BR$5="F",ED66))</f>
        <v>8.3500181462286776</v>
      </c>
      <c r="CN66" s="43">
        <f>CZ65</f>
        <v>701.59732825385072</v>
      </c>
      <c r="CO66" s="44"/>
      <c r="CP66" s="65">
        <f>CN66*CO66*0.5</f>
        <v>0</v>
      </c>
      <c r="CQ66" s="69" t="str">
        <f>IF(CO65&gt;0,CN66*CO65*0.3,"")</f>
        <v/>
      </c>
      <c r="CR66" s="69" t="str">
        <f>IF(CO64&gt;0,CN66*CO64*0.2,"")</f>
        <v/>
      </c>
      <c r="CS66" s="69"/>
      <c r="CT66" s="69"/>
      <c r="CU66" s="46">
        <f>CN66-SUM(CP66:CT66)</f>
        <v>701.59732825385072</v>
      </c>
      <c r="CV66" s="47">
        <f>DB65</f>
        <v>835.20242530416249</v>
      </c>
      <c r="CW66" s="47">
        <f>CU66/CM66</f>
        <v>84.02344952636183</v>
      </c>
      <c r="CX66" s="84">
        <f>CW54</f>
        <v>60.538029555924915</v>
      </c>
      <c r="CY66" s="47">
        <f>(CX66*$BS$41)-CX66</f>
        <v>24.215211822369959</v>
      </c>
      <c r="CZ66" s="49">
        <f>CU66-CW66+CX66+CY66</f>
        <v>702.32712010578382</v>
      </c>
      <c r="DA66" s="49">
        <f>CZ66-CN66</f>
        <v>0.72979185193310059</v>
      </c>
      <c r="DB66" s="47">
        <f>IF(DB65&lt;2,0,CV66-CX66+CW66)</f>
        <v>858.68784527459934</v>
      </c>
      <c r="DC66" s="49">
        <f>DB66-CV66</f>
        <v>23.485419970436851</v>
      </c>
      <c r="DD66" s="50">
        <f>(CN66+CX66*12)*0.025</f>
        <v>35.701342073123747</v>
      </c>
      <c r="DE66" s="49">
        <f>CZ66+DB66-DD66</f>
        <v>1525.3136233072596</v>
      </c>
      <c r="DF66" s="50">
        <f>DD66</f>
        <v>35.701342073123747</v>
      </c>
      <c r="DG66" s="51"/>
      <c r="DH66" s="52">
        <f>IF($BR$5="F",315*CZ66/EB66,315*CZ66/DV66)</f>
        <v>6.1453623009256084</v>
      </c>
      <c r="DI66" s="53" t="str">
        <f>IF(CO64&gt;0,SUM(CP64:CR66)/CL64,"")</f>
        <v/>
      </c>
      <c r="DJ66" s="54">
        <f>(CL66-CL65)/CL65</f>
        <v>1.8134661961309417E-2</v>
      </c>
      <c r="DK66" s="41">
        <f>CL66</f>
        <v>1499.0641073582503</v>
      </c>
      <c r="DL66" s="55">
        <v>12</v>
      </c>
      <c r="DM66" s="44"/>
      <c r="DN66" s="85"/>
      <c r="DO66" s="44"/>
      <c r="DP66" s="85"/>
      <c r="DQ66" s="44"/>
      <c r="DR66" s="69"/>
      <c r="DS66" s="57">
        <v>5</v>
      </c>
      <c r="DT66" s="58">
        <f>DS66*4500</f>
        <v>22500</v>
      </c>
      <c r="DU66" s="57">
        <v>20</v>
      </c>
      <c r="DV66" s="57">
        <f>DU66*1800</f>
        <v>36000</v>
      </c>
      <c r="DW66" s="59">
        <f>5*LN(DV66/DT66)+6</f>
        <v>8.3500181462286776</v>
      </c>
      <c r="DX66" s="60">
        <f>DX65-0.1</f>
        <v>3.8000000000000034</v>
      </c>
      <c r="DY66" s="61">
        <f>DX66*4500</f>
        <v>17100.000000000015</v>
      </c>
      <c r="DZ66" s="68">
        <f>DZ65-0.21</f>
        <v>17.47999999999999</v>
      </c>
      <c r="EA66" s="68">
        <f>EA65+5</f>
        <v>1860</v>
      </c>
      <c r="EB66" s="61">
        <f>DZ66*EA66</f>
        <v>32512.799999999981</v>
      </c>
      <c r="EC66" s="61">
        <f>IF(DY66=0,NA(),EB66/DY66)</f>
        <v>1.9013333333333307</v>
      </c>
      <c r="ED66" s="60">
        <f>5*LN(EB66/DY66)+7.6</f>
        <v>10.812776972219417</v>
      </c>
      <c r="EE66" s="63" t="s">
        <v>45</v>
      </c>
      <c r="EF66" s="60"/>
      <c r="EG66" s="86">
        <v>46280</v>
      </c>
    </row>
    <row r="67" spans="65:137" ht="15">
      <c r="BM67" t="str">
        <f t="shared" si="1"/>
        <v/>
      </c>
      <c r="CI67" s="19">
        <v>46281</v>
      </c>
      <c r="CJ67" s="49">
        <v>1</v>
      </c>
      <c r="CK67" s="87">
        <f>D36</f>
        <v>0</v>
      </c>
      <c r="CL67" s="49">
        <f>DE66</f>
        <v>1525.3136233072596</v>
      </c>
      <c r="CM67" s="42">
        <f>IF($BR$5="S",DW67,IF($BR$5="F",ED67))</f>
        <v>8.3500181462286776</v>
      </c>
      <c r="CN67" s="43">
        <f>CZ66</f>
        <v>702.32712010578382</v>
      </c>
      <c r="CO67" s="6">
        <f>IF($BR$8="",0,IF($BR$8="C",CK67*$BR$7,IF($BR$8=4,DM67,IF($BR$8=5,DN67,IF($BR$8=7,DO67,IF($BR$8=10,DP67,IF($BR$8=14,DQ67,"")))))))</f>
        <v>0</v>
      </c>
      <c r="CP67" s="65">
        <f>CN67*CO67*CP$54</f>
        <v>0</v>
      </c>
      <c r="CQ67" s="69" t="str">
        <f>IF(CO66&gt;0,CN67*CO66*CQ$54,"")</f>
        <v/>
      </c>
      <c r="CR67" s="69" t="str">
        <f>IF(CO65&gt;0,CN67*CO65*CR$54,"")</f>
        <v/>
      </c>
      <c r="CS67" s="69" t="str">
        <f>IF(CO64&gt;0,CN64*CS$54,"")</f>
        <v/>
      </c>
      <c r="CT67" s="69" t="str">
        <f>IF(CO63&gt;0,CN63*CT$54,"")</f>
        <v/>
      </c>
      <c r="CU67" s="46">
        <f>CN67-SUM(CP67:CT67)</f>
        <v>702.32712010578382</v>
      </c>
      <c r="CV67" s="47">
        <f>DB66</f>
        <v>858.68784527459934</v>
      </c>
      <c r="CW67" s="47">
        <f>CU67/CM67</f>
        <v>84.110849558212394</v>
      </c>
      <c r="CX67" s="47">
        <f>CW55</f>
        <v>63.438048621548965</v>
      </c>
      <c r="CY67" s="47">
        <f>(CX67*$BS$41)-CX67</f>
        <v>25.375219448619582</v>
      </c>
      <c r="CZ67" s="49">
        <f>CU67-CW67+CX67+CY67</f>
        <v>707.02953861773995</v>
      </c>
      <c r="DA67" s="49">
        <f>CZ67-CN67</f>
        <v>4.7024185119561253</v>
      </c>
      <c r="DB67" s="47">
        <f>IF(DB66&lt;2,0,CV67-CX67+CW67)</f>
        <v>879.36064621126275</v>
      </c>
      <c r="DC67" s="49">
        <f>DB67-CV67</f>
        <v>20.672800936663407</v>
      </c>
      <c r="DD67" s="50">
        <f>(CN67+CX67*12)*0.025</f>
        <v>36.58959258910928</v>
      </c>
      <c r="DE67" s="49">
        <f>CZ67+DB67-DD67</f>
        <v>1549.8005922398934</v>
      </c>
      <c r="DF67" s="50"/>
      <c r="DG67" s="51"/>
      <c r="DH67" s="52"/>
      <c r="DI67" s="53" t="str">
        <f>IF(CO65&gt;0,SUM(CP65:CR67)/CL65,"")</f>
        <v/>
      </c>
      <c r="DJ67" s="54">
        <f>(CL67-CL66)/CL66</f>
        <v>1.75106026621289E-2</v>
      </c>
      <c r="DK67" s="70"/>
      <c r="DL67" s="55">
        <v>13</v>
      </c>
      <c r="DM67" s="6">
        <f>$BR$7</f>
        <v>0.95</v>
      </c>
      <c r="DN67" s="6">
        <f>$BR$7</f>
        <v>0.95</v>
      </c>
      <c r="DO67" s="6">
        <f>$BR$7</f>
        <v>0.95</v>
      </c>
      <c r="DP67" s="6">
        <f>$BR$7</f>
        <v>0.95</v>
      </c>
      <c r="DQ67" s="6">
        <f>$BR$7</f>
        <v>0.95</v>
      </c>
      <c r="DR67" s="21" t="e">
        <f>IF(CO67=0,NA(),1)</f>
        <v>#N/A</v>
      </c>
      <c r="DS67" s="57">
        <v>5</v>
      </c>
      <c r="DT67" s="58">
        <f>DS67*4500</f>
        <v>22500</v>
      </c>
      <c r="DU67" s="57">
        <v>20</v>
      </c>
      <c r="DV67" s="57">
        <f>DU67*1800</f>
        <v>36000</v>
      </c>
      <c r="DW67" s="59">
        <f>5*LN(DV67/DT67)+6</f>
        <v>8.3500181462286776</v>
      </c>
      <c r="DX67" s="60">
        <f>DX66-0.1</f>
        <v>3.7000000000000033</v>
      </c>
      <c r="DY67" s="61">
        <f>DX67*4500</f>
        <v>16650.000000000015</v>
      </c>
      <c r="DZ67" s="68">
        <f>DZ66-0.21</f>
        <v>17.269999999999989</v>
      </c>
      <c r="EA67" s="68">
        <f>EA66+5</f>
        <v>1865</v>
      </c>
      <c r="EB67" s="61">
        <f>DZ67*EA67</f>
        <v>32208.549999999981</v>
      </c>
      <c r="EC67" s="61">
        <f>IF(DY67=0,NA(),EB67/DY67)</f>
        <v>1.9344474474474447</v>
      </c>
      <c r="ED67" s="60">
        <f>5*LN(EB67/DY67)+7.6</f>
        <v>10.899108644139559</v>
      </c>
      <c r="EE67" s="63" t="s">
        <v>45</v>
      </c>
      <c r="EF67" s="60"/>
      <c r="EG67" s="86">
        <v>46281</v>
      </c>
    </row>
    <row r="68" spans="65:137" ht="15">
      <c r="BM68" t="str">
        <f t="shared" si="1"/>
        <v/>
      </c>
      <c r="CI68" s="19">
        <v>46282</v>
      </c>
      <c r="CJ68" s="49">
        <v>2</v>
      </c>
      <c r="CK68" s="87">
        <f>E36</f>
        <v>0</v>
      </c>
      <c r="CL68" s="49">
        <f>DE67</f>
        <v>1549.8005922398934</v>
      </c>
      <c r="CM68" s="42">
        <f>IF($BR$5="S",DW68,IF($BR$5="F",ED68))</f>
        <v>8.3500181462286776</v>
      </c>
      <c r="CN68" s="43">
        <f>CZ67</f>
        <v>707.02953861773995</v>
      </c>
      <c r="CO68" s="6">
        <f>IF($BR$8="",0,IF($BR$8="C",CK68*$BR$7,IF($BR$8=4,DM68,IF($BR$8=5,DN68,IF($BR$8=7,DO68,IF($BR$8=10,DP68,IF($BR$8=14,DQ68,"")))))))</f>
        <v>0</v>
      </c>
      <c r="CP68" s="65">
        <f>CN68*CO68*CP$54</f>
        <v>0</v>
      </c>
      <c r="CQ68" s="69" t="str">
        <f>IF(CO67&gt;0,CN68*CO67*CQ$54,"")</f>
        <v/>
      </c>
      <c r="CR68" s="69" t="str">
        <f>IF(CO66&gt;0,CN68*CO66*CR$54,"")</f>
        <v/>
      </c>
      <c r="CS68" s="69" t="str">
        <f>IF(CO65&gt;0,CN65*CS$54,"")</f>
        <v/>
      </c>
      <c r="CT68" s="69" t="str">
        <f>IF(CO64&gt;0,CN64*CT$54,"")</f>
        <v/>
      </c>
      <c r="CU68" s="46">
        <f>CN68-SUM(CP68:CT68)</f>
        <v>707.02953861773995</v>
      </c>
      <c r="CV68" s="47">
        <f>DB67</f>
        <v>879.36064621126275</v>
      </c>
      <c r="CW68" s="47">
        <f>CU68/CM68</f>
        <v>84.674012227994126</v>
      </c>
      <c r="CX68" s="47">
        <f>CW56</f>
        <v>65.99076076941094</v>
      </c>
      <c r="CY68" s="47">
        <f>(CX68*$BS$41)-CX68</f>
        <v>26.396304307764368</v>
      </c>
      <c r="CZ68" s="49">
        <f>CU68-CW68+CX68+CY68</f>
        <v>714.74259146692111</v>
      </c>
      <c r="DA68" s="49">
        <f>CZ68-CN68</f>
        <v>7.7130528491811674</v>
      </c>
      <c r="DB68" s="47">
        <f>IF(DB67&lt;2,0,CV68-CX68+CW68)</f>
        <v>898.04389766984593</v>
      </c>
      <c r="DC68" s="49">
        <f>DB68-CV68</f>
        <v>18.683251458583186</v>
      </c>
      <c r="DD68" s="50">
        <f>(CN68+CX68*12)*0.025</f>
        <v>37.472966696266781</v>
      </c>
      <c r="DE68" s="49">
        <f>CZ68+DB68-DD68</f>
        <v>1575.3135224405005</v>
      </c>
      <c r="DF68" s="50">
        <f>DD68</f>
        <v>37.472966696266781</v>
      </c>
      <c r="DG68" s="51" t="e">
        <f>IF(CO67&gt;0,CP67+CQ68+CL67*0.025,NA())</f>
        <v>#N/A</v>
      </c>
      <c r="DH68" s="52"/>
      <c r="DI68" s="53" t="str">
        <f>IF(CO66&gt;0,SUM(CP66:CR68)/CL66,"")</f>
        <v/>
      </c>
      <c r="DJ68" s="54">
        <f>(CL68-CL67)/CL67</f>
        <v>1.6053727284976272E-2</v>
      </c>
      <c r="DK68" s="70"/>
      <c r="DL68" s="55">
        <v>14</v>
      </c>
      <c r="DM68" s="6"/>
      <c r="DN68" s="6"/>
      <c r="DO68" s="6"/>
      <c r="DP68" s="6"/>
      <c r="DQ68" s="6"/>
      <c r="DR68" s="21" t="e">
        <f>IF(CO68=0,NA(),1)</f>
        <v>#N/A</v>
      </c>
      <c r="DS68" s="57">
        <v>5</v>
      </c>
      <c r="DT68" s="58">
        <f>DS68*4500</f>
        <v>22500</v>
      </c>
      <c r="DU68" s="57">
        <v>20</v>
      </c>
      <c r="DV68" s="57">
        <f>DU68*1800</f>
        <v>36000</v>
      </c>
      <c r="DW68" s="59">
        <f>5*LN(DV68/DT68)+6</f>
        <v>8.3500181462286776</v>
      </c>
      <c r="DX68" s="60">
        <f>DX67-0.1</f>
        <v>3.6000000000000032</v>
      </c>
      <c r="DY68" s="61">
        <f>DX68*4500</f>
        <v>16200.000000000015</v>
      </c>
      <c r="DZ68" s="68">
        <f>DZ67-0.21</f>
        <v>17.059999999999988</v>
      </c>
      <c r="EA68" s="68">
        <f>EA67+5</f>
        <v>1870</v>
      </c>
      <c r="EB68" s="61">
        <f>DZ68*EA68</f>
        <v>31902.199999999979</v>
      </c>
      <c r="EC68" s="61">
        <f>IF(DY68=0,NA(),EB68/DY68)</f>
        <v>1.9692716049382686</v>
      </c>
      <c r="ED68" s="60">
        <f>5*LN(EB68/DY68)+7.6</f>
        <v>10.988318653458442</v>
      </c>
      <c r="EE68" s="63" t="s">
        <v>45</v>
      </c>
      <c r="EF68" s="60"/>
      <c r="EG68" s="86">
        <v>46282</v>
      </c>
    </row>
    <row r="69" spans="65:137" ht="15">
      <c r="BM69" t="str">
        <f t="shared" si="1"/>
        <v/>
      </c>
      <c r="CI69" s="19">
        <v>46283</v>
      </c>
      <c r="CJ69" s="49">
        <v>3</v>
      </c>
      <c r="CK69" s="87">
        <f>F36</f>
        <v>0</v>
      </c>
      <c r="CL69" s="49">
        <f>DE68</f>
        <v>1575.3135224405005</v>
      </c>
      <c r="CM69" s="42">
        <f>IF($BR$5="S",DW69,IF($BR$5="F",ED69))</f>
        <v>8.3500181462286776</v>
      </c>
      <c r="CN69" s="43">
        <f>CZ68</f>
        <v>714.74259146692111</v>
      </c>
      <c r="CO69" s="6">
        <f>IF($BR$8="",0,IF($BR$8="C",CK69*$BR$7,IF($BR$8=4,DM69,IF($BR$8=5,DN69,IF($BR$8=7,DO69,IF($BR$8=10,DP69,IF($BR$8=14,DQ69,"")))))))</f>
        <v>0</v>
      </c>
      <c r="CP69" s="65">
        <f>CN69*CO69*CP$54</f>
        <v>0</v>
      </c>
      <c r="CQ69" s="69" t="str">
        <f>IF(CO68&gt;0,CN69*CO68*CQ$54,"")</f>
        <v/>
      </c>
      <c r="CR69" s="69" t="str">
        <f>IF(CO67&gt;0,CN69*CO67*CR$54,"")</f>
        <v/>
      </c>
      <c r="CS69" s="69" t="str">
        <f>IF(CO66&gt;0,CN66*CS$54,"")</f>
        <v/>
      </c>
      <c r="CT69" s="69" t="str">
        <f>IF(CO65&gt;0,CN65*CT$54,"")</f>
        <v/>
      </c>
      <c r="CU69" s="46">
        <f>CN69-SUM(CP69:CT69)</f>
        <v>714.74259146692111</v>
      </c>
      <c r="CV69" s="47">
        <f>DB68</f>
        <v>898.04389766984593</v>
      </c>
      <c r="CW69" s="47">
        <f>CU69/CM69</f>
        <v>85.597729124665165</v>
      </c>
      <c r="CX69" s="47">
        <f>CW57</f>
        <v>68.278278692371032</v>
      </c>
      <c r="CY69" s="47">
        <f>(CX69*$BS$41)-CX69</f>
        <v>27.311311476948404</v>
      </c>
      <c r="CZ69" s="49">
        <f>CU69-CW69+CX69+CY69</f>
        <v>724.73445251157534</v>
      </c>
      <c r="DA69" s="49">
        <f>CZ69-CN69</f>
        <v>9.9918610446542289</v>
      </c>
      <c r="DB69" s="47">
        <f>IF(DB68&lt;2,0,CV69-CX69+CW69)</f>
        <v>915.36334810214009</v>
      </c>
      <c r="DC69" s="49">
        <f>DB69-CV69</f>
        <v>17.319450432294161</v>
      </c>
      <c r="DD69" s="50">
        <f>(CN69+CX69*12)*0.025</f>
        <v>38.35204839438434</v>
      </c>
      <c r="DE69" s="49">
        <f>CZ69+DB69-DD69</f>
        <v>1601.7457522193311</v>
      </c>
      <c r="DF69" s="50"/>
      <c r="DG69" s="51" t="e">
        <f>IF(CO68&gt;0,CP68+CQ69+CL68*0.025,NA())</f>
        <v>#N/A</v>
      </c>
      <c r="DH69" s="52"/>
      <c r="DI69" s="53" t="str">
        <f>IF(CO67&gt;0,SUM(CP67:CR69)/CL67,"")</f>
        <v/>
      </c>
      <c r="DJ69" s="54">
        <f>(CL69-CL68)/CL68</f>
        <v>1.6462072816563988E-2</v>
      </c>
      <c r="DK69" s="41"/>
      <c r="DL69" s="55">
        <v>15</v>
      </c>
      <c r="DM69" s="6"/>
      <c r="DN69" s="6"/>
      <c r="DO69" s="6"/>
      <c r="DP69" s="6"/>
      <c r="DQ69" s="6"/>
      <c r="DR69" s="21" t="e">
        <f>IF(CO69=0,NA(),1)</f>
        <v>#N/A</v>
      </c>
      <c r="DS69" s="57">
        <v>5</v>
      </c>
      <c r="DT69" s="58">
        <f>DS69*4500</f>
        <v>22500</v>
      </c>
      <c r="DU69" s="57">
        <v>20</v>
      </c>
      <c r="DV69" s="57">
        <f>DU69*1800</f>
        <v>36000</v>
      </c>
      <c r="DW69" s="59">
        <f>5*LN(DV69/DT69)+6</f>
        <v>8.3500181462286776</v>
      </c>
      <c r="DX69" s="60">
        <f>DX68-0.1</f>
        <v>3.5000000000000031</v>
      </c>
      <c r="DY69" s="61">
        <f>DX69*4500</f>
        <v>15750.000000000015</v>
      </c>
      <c r="DZ69" s="68">
        <f>DZ68-0.21</f>
        <v>16.849999999999987</v>
      </c>
      <c r="EA69" s="68">
        <f>EA68+5</f>
        <v>1875</v>
      </c>
      <c r="EB69" s="61">
        <f>DZ69*EA69</f>
        <v>31593.749999999975</v>
      </c>
      <c r="EC69" s="61">
        <f>IF(DY69=0,NA(),EB69/DY69)</f>
        <v>2.0059523809523774</v>
      </c>
      <c r="ED69" s="60">
        <f>5*LN(EB69/DY69)+7.6</f>
        <v>11.080594754745505</v>
      </c>
      <c r="EE69" s="63" t="s">
        <v>45</v>
      </c>
      <c r="EF69" s="60"/>
      <c r="EG69" s="86">
        <v>46283</v>
      </c>
    </row>
    <row r="70" spans="65:137" ht="15">
      <c r="BM70" t="str">
        <f t="shared" si="1"/>
        <v/>
      </c>
      <c r="CI70" s="19">
        <v>46284</v>
      </c>
      <c r="CJ70" s="49">
        <v>4</v>
      </c>
      <c r="CK70" s="87">
        <f>G36</f>
        <v>0</v>
      </c>
      <c r="CL70" s="49">
        <f>DE69</f>
        <v>1601.7457522193311</v>
      </c>
      <c r="CM70" s="42">
        <f>IF($BR$5="S",DW70,IF($BR$5="F",ED70))</f>
        <v>8.3500181462286776</v>
      </c>
      <c r="CN70" s="43">
        <f>CZ69</f>
        <v>724.73445251157534</v>
      </c>
      <c r="CO70" s="6">
        <f>IF($BR$8="",0,IF($BR$8="C",CK70*$BR$7,IF($BR$8=4,DM70,IF($BR$8=5,DN70,IF($BR$8=7,DO70,IF($BR$8=10,DP70,IF($BR$8=14,DQ70,"")))))))</f>
        <v>0</v>
      </c>
      <c r="CP70" s="65">
        <f>CN70*CO70*CP$54</f>
        <v>0</v>
      </c>
      <c r="CQ70" s="69" t="str">
        <f>IF(CO69&gt;0,CN70*CO69*CQ$54,"")</f>
        <v/>
      </c>
      <c r="CR70" s="69" t="str">
        <f>IF(CO68&gt;0,CN70*CO68*CR$54,"")</f>
        <v/>
      </c>
      <c r="CS70" s="69" t="str">
        <f>IF(CO67&gt;0,CN67*CO67*CS$54,"")</f>
        <v/>
      </c>
      <c r="CT70" s="69" t="str">
        <f>IF(CO66&gt;0,CN66*CT$54,"")</f>
        <v/>
      </c>
      <c r="CU70" s="46">
        <f>CN70-SUM(CP70:CT70)</f>
        <v>724.73445251157534</v>
      </c>
      <c r="CV70" s="47">
        <f>DB69</f>
        <v>915.36334810214009</v>
      </c>
      <c r="CW70" s="47">
        <f>CU70/CM70</f>
        <v>86.794356589381167</v>
      </c>
      <c r="CX70" s="47">
        <f>CW58</f>
        <v>70.364652073074453</v>
      </c>
      <c r="CY70" s="47">
        <f>(CX70*$BS$41)-CX70</f>
        <v>28.145860829229775</v>
      </c>
      <c r="CZ70" s="49">
        <f>CU70-CW70+CX70+CY70</f>
        <v>736.45060882449843</v>
      </c>
      <c r="DA70" s="49">
        <f>CZ70-CN70</f>
        <v>11.71615631292309</v>
      </c>
      <c r="DB70" s="47">
        <f>IF(DB69&lt;2,0,CV70-CX70+CW70)</f>
        <v>931.79305261844684</v>
      </c>
      <c r="DC70" s="49">
        <f>DB70-CV70</f>
        <v>16.429704516306742</v>
      </c>
      <c r="DD70" s="50">
        <f>(CN70+CX70*12)*0.025</f>
        <v>39.227756934711721</v>
      </c>
      <c r="DE70" s="49">
        <f>CZ70+DB70-DD70</f>
        <v>1629.0159045082335</v>
      </c>
      <c r="DF70" s="50">
        <f>DD70</f>
        <v>39.227756934711721</v>
      </c>
      <c r="DG70" s="51" t="e">
        <f>IF(CO69&gt;0,CP69+CQ70+CL69*0.025,NA())</f>
        <v>#N/A</v>
      </c>
      <c r="DH70" s="52"/>
      <c r="DI70" s="53" t="str">
        <f>IF(CO68&gt;0,SUM(CP68:CR70)/CL68,"")</f>
        <v/>
      </c>
      <c r="DJ70" s="54">
        <f>(CL70-CL69)/CL69</f>
        <v>1.6779028048893616E-2</v>
      </c>
      <c r="DK70" s="70"/>
      <c r="DL70" s="55">
        <v>16</v>
      </c>
      <c r="DM70" s="6"/>
      <c r="DN70" s="6"/>
      <c r="DO70" s="6"/>
      <c r="DP70" s="6"/>
      <c r="DQ70" s="6"/>
      <c r="DR70" s="21" t="e">
        <f>IF(CO70=0,NA(),1)</f>
        <v>#N/A</v>
      </c>
      <c r="DS70" s="57">
        <v>5</v>
      </c>
      <c r="DT70" s="58">
        <f>DS70*4500</f>
        <v>22500</v>
      </c>
      <c r="DU70" s="57">
        <v>20</v>
      </c>
      <c r="DV70" s="57">
        <f>DU70*1800</f>
        <v>36000</v>
      </c>
      <c r="DW70" s="59">
        <f>5*LN(DV70/DT70)+6</f>
        <v>8.3500181462286776</v>
      </c>
      <c r="DX70" s="60">
        <f>DX69-0.1</f>
        <v>3.400000000000003</v>
      </c>
      <c r="DY70" s="61">
        <f>DX70*4500</f>
        <v>15300.000000000013</v>
      </c>
      <c r="DZ70" s="68">
        <f>DZ69-0.21</f>
        <v>16.639999999999986</v>
      </c>
      <c r="EA70" s="68">
        <f>EA69+5</f>
        <v>1880</v>
      </c>
      <c r="EB70" s="61">
        <f>DZ70*EA70</f>
        <v>31283.199999999975</v>
      </c>
      <c r="EC70" s="61">
        <f>IF(DY70=0,NA(),EB70/DY70)</f>
        <v>2.0446535947712383</v>
      </c>
      <c r="ED70" s="60">
        <f>5*LN(EB70/DY70)+7.6</f>
        <v>11.176141919182644</v>
      </c>
      <c r="EE70" s="63" t="s">
        <v>45</v>
      </c>
      <c r="EF70" s="60"/>
      <c r="EG70" s="86">
        <v>46284</v>
      </c>
    </row>
    <row r="71" spans="65:137" ht="15">
      <c r="BM71" t="str">
        <f t="shared" si="1"/>
        <v/>
      </c>
      <c r="CI71" s="19">
        <v>46285</v>
      </c>
      <c r="CJ71" s="49">
        <v>5</v>
      </c>
      <c r="CK71" s="87">
        <f>H36</f>
        <v>0</v>
      </c>
      <c r="CL71" s="49">
        <f>DE70</f>
        <v>1629.0159045082335</v>
      </c>
      <c r="CM71" s="42">
        <f>IF($BR$5="S",DW71,IF($BR$5="F",ED71))</f>
        <v>8.3500181462286776</v>
      </c>
      <c r="CN71" s="43">
        <f>CZ70</f>
        <v>736.45060882449843</v>
      </c>
      <c r="CO71" s="6">
        <f>IF($BR$8="",0,IF($BR$8="C",CK71*$BR$7,IF($BR$8=4,DM71,IF($BR$8=5,DN71,IF($BR$8=7,DO71,IF($BR$8=10,DP71,IF($BR$8=14,DQ71,"")))))))</f>
        <v>0</v>
      </c>
      <c r="CP71" s="65">
        <f>CN71*CO71*CP$54</f>
        <v>0</v>
      </c>
      <c r="CQ71" s="69" t="str">
        <f>IF(CO70&gt;0,CN71*CO70*CQ$54,"")</f>
        <v/>
      </c>
      <c r="CR71" s="69" t="str">
        <f>IF(CO69&gt;0,CN71*CO69*CR$54,"")</f>
        <v/>
      </c>
      <c r="CS71" s="69" t="str">
        <f>IF(CO68&gt;0,CN68*CO68*CS$54,"")</f>
        <v/>
      </c>
      <c r="CT71" s="69" t="str">
        <f>IF(CO67&gt;0,CN67*CO67*CT$54,"")</f>
        <v/>
      </c>
      <c r="CU71" s="46">
        <f>CN71-SUM(CP71:CT71)</f>
        <v>736.45060882449843</v>
      </c>
      <c r="CV71" s="47">
        <f>DB70</f>
        <v>931.79305261844684</v>
      </c>
      <c r="CW71" s="47">
        <f>CU71/CM71</f>
        <v>88.197486032664443</v>
      </c>
      <c r="CX71" s="47">
        <f>CW59</f>
        <v>72.299863859326564</v>
      </c>
      <c r="CY71" s="47">
        <f>(CX71*$BS$41)-CX71</f>
        <v>28.91994554373062</v>
      </c>
      <c r="CZ71" s="49">
        <f>CU71-CW71+CX71+CY71</f>
        <v>749.4729321948912</v>
      </c>
      <c r="DA71" s="49">
        <f>CZ71-CN71</f>
        <v>13.022323370392769</v>
      </c>
      <c r="DB71" s="47">
        <f>IF(DB70&lt;2,0,CV71-CX71+CW71)</f>
        <v>947.69067479178466</v>
      </c>
      <c r="DC71" s="49">
        <f>DB71-CV71</f>
        <v>15.897622173337822</v>
      </c>
      <c r="DD71" s="50">
        <f>(CN71+CX71*12)*0.025</f>
        <v>40.101224378410429</v>
      </c>
      <c r="DE71" s="49">
        <f>CZ71+DB71-DD71</f>
        <v>1657.0623826082654</v>
      </c>
      <c r="DF71" s="50"/>
      <c r="DG71" s="51" t="e">
        <f>IF(CO70&gt;0,CP70+CQ71+CL70*0.025,NA())</f>
        <v>#N/A</v>
      </c>
      <c r="DH71" s="52"/>
      <c r="DI71" s="53" t="str">
        <f>IF(CO69&gt;0,SUM(CP69:CR71)/CL69,"")</f>
        <v/>
      </c>
      <c r="DJ71" s="54">
        <f>(CL71-CL70)/CL70</f>
        <v>1.7025268992358931E-2</v>
      </c>
      <c r="DK71" s="70"/>
      <c r="DL71" s="55">
        <v>17</v>
      </c>
      <c r="DM71" s="6">
        <f>$BR$7</f>
        <v>0.95</v>
      </c>
      <c r="DN71" s="6"/>
      <c r="DO71" s="6"/>
      <c r="DP71" s="6"/>
      <c r="DQ71" s="88"/>
      <c r="DR71" s="21" t="e">
        <f>IF(CO71=0,NA(),1)</f>
        <v>#N/A</v>
      </c>
      <c r="DS71" s="57">
        <v>5</v>
      </c>
      <c r="DT71" s="58">
        <f>DS71*4500</f>
        <v>22500</v>
      </c>
      <c r="DU71" s="57">
        <v>20</v>
      </c>
      <c r="DV71" s="57">
        <f>DU71*1800</f>
        <v>36000</v>
      </c>
      <c r="DW71" s="59">
        <f>5*LN(DV71/DT71)+6</f>
        <v>8.3500181462286776</v>
      </c>
      <c r="DX71" s="60">
        <f>DX70-0.1</f>
        <v>3.3000000000000029</v>
      </c>
      <c r="DY71" s="61">
        <f>DX71*4500</f>
        <v>14850.000000000013</v>
      </c>
      <c r="DZ71" s="68">
        <f>DZ70-0.21</f>
        <v>16.429999999999986</v>
      </c>
      <c r="EA71" s="68">
        <f>EA70+5</f>
        <v>1885</v>
      </c>
      <c r="EB71" s="61">
        <f>DZ71*EA71</f>
        <v>30970.549999999974</v>
      </c>
      <c r="EC71" s="61">
        <f>IF(DY71=0,NA(),EB71/DY71)</f>
        <v>2.0855589225589188</v>
      </c>
      <c r="ED71" s="60">
        <f>5*LN(EB71/DY71)+7.6</f>
        <v>11.275184438502201</v>
      </c>
      <c r="EE71" s="63" t="s">
        <v>45</v>
      </c>
      <c r="EF71" s="60"/>
      <c r="EG71" s="86">
        <v>46285</v>
      </c>
    </row>
    <row r="72" spans="65:137" ht="15">
      <c r="BM72" t="str">
        <f t="shared" si="1"/>
        <v/>
      </c>
      <c r="CI72" s="19">
        <v>46286</v>
      </c>
      <c r="CJ72" s="49">
        <v>6</v>
      </c>
      <c r="CK72" s="87">
        <f>I36</f>
        <v>0</v>
      </c>
      <c r="CL72" s="49">
        <f>DE71</f>
        <v>1657.0623826082654</v>
      </c>
      <c r="CM72" s="42">
        <f>IF($BR$5="S",DW72,IF($BR$5="F",ED72))</f>
        <v>8.3500181462286776</v>
      </c>
      <c r="CN72" s="43">
        <f>CZ71</f>
        <v>749.4729321948912</v>
      </c>
      <c r="CO72" s="6">
        <f>IF($BR$8="",0,IF($BR$8="C",CK72*$BR$7,IF($BR$8=4,DM72,IF($BR$8=5,DN72,IF($BR$8=7,DO72,IF($BR$8=10,DP72,IF($BR$8=14,DQ72,"")))))))</f>
        <v>0</v>
      </c>
      <c r="CP72" s="65">
        <f>CN72*CO72*CP$54</f>
        <v>0</v>
      </c>
      <c r="CQ72" s="69" t="str">
        <f>IF(CO71&gt;0,CN72*CO71*CQ$54,"")</f>
        <v/>
      </c>
      <c r="CR72" s="69" t="str">
        <f>IF(CO70&gt;0,CN72*CO70*CR$54,"")</f>
        <v/>
      </c>
      <c r="CS72" s="69" t="str">
        <f>IF(CO69&gt;0,CN69*CO69*CS$54,"")</f>
        <v/>
      </c>
      <c r="CT72" s="69" t="str">
        <f>IF(CO68&gt;0,CN68*CO68*CT$54,"")</f>
        <v/>
      </c>
      <c r="CU72" s="46">
        <f>CN72-SUM(CP72:CT72)</f>
        <v>749.4729321948912</v>
      </c>
      <c r="CV72" s="47">
        <f>DB71</f>
        <v>947.69067479178466</v>
      </c>
      <c r="CW72" s="47">
        <f>CU72/CM72</f>
        <v>89.757042328512057</v>
      </c>
      <c r="CX72" s="47">
        <f>CW60</f>
        <v>74.122942814038353</v>
      </c>
      <c r="CY72" s="47">
        <f>(CX72*$BS$41)-CX72</f>
        <v>29.649177125615338</v>
      </c>
      <c r="CZ72" s="49">
        <f>CU72-CW72+CX72+CY72</f>
        <v>763.48800980603278</v>
      </c>
      <c r="DA72" s="49">
        <f>CZ72-CN72</f>
        <v>14.015077611141578</v>
      </c>
      <c r="DB72" s="47">
        <f>IF(DB71&lt;2,0,CV72-CX72+CW72)</f>
        <v>963.3247743062584</v>
      </c>
      <c r="DC72" s="49">
        <f>DB72-CV72</f>
        <v>15.634099514473746</v>
      </c>
      <c r="DD72" s="50">
        <f>(CN72+CX72*12)*0.025</f>
        <v>40.973706149083789</v>
      </c>
      <c r="DE72" s="49">
        <f>CZ72+DB72-DD72</f>
        <v>1685.8390779632075</v>
      </c>
      <c r="DF72" s="50">
        <f>DD72</f>
        <v>40.973706149083789</v>
      </c>
      <c r="DG72" s="51" t="e">
        <f>IF(CO71&gt;0,CP71+CQ72+CL71*0.025,NA())</f>
        <v>#N/A</v>
      </c>
      <c r="DH72" s="52"/>
      <c r="DI72" s="53" t="str">
        <f>IF(CO70&gt;0,SUM(CP70:CR72)/CL70,"")</f>
        <v/>
      </c>
      <c r="DJ72" s="54">
        <f>(CL72-CL71)/CL71</f>
        <v>1.7216822759320172E-2</v>
      </c>
      <c r="DK72" s="41">
        <f>CL72</f>
        <v>1657.0623826082654</v>
      </c>
      <c r="DL72" s="55">
        <v>18</v>
      </c>
      <c r="DM72" s="6"/>
      <c r="DN72" s="6">
        <f>$BR$7</f>
        <v>0.95</v>
      </c>
      <c r="DO72" s="88"/>
      <c r="DP72" s="88"/>
      <c r="DQ72" s="6"/>
      <c r="DR72" s="21" t="e">
        <f>IF(CO72=0,NA(),1)</f>
        <v>#N/A</v>
      </c>
      <c r="DS72" s="57">
        <v>5</v>
      </c>
      <c r="DT72" s="58">
        <f>DS72*4500</f>
        <v>22500</v>
      </c>
      <c r="DU72" s="57">
        <v>20</v>
      </c>
      <c r="DV72" s="57">
        <f>DU72*1800</f>
        <v>36000</v>
      </c>
      <c r="DW72" s="59">
        <f>5*LN(DV72/DT72)+6</f>
        <v>8.3500181462286776</v>
      </c>
      <c r="DX72" s="60">
        <f>DX71-0.1</f>
        <v>3.2000000000000028</v>
      </c>
      <c r="DY72" s="61">
        <f>DX72*4500</f>
        <v>14400.000000000013</v>
      </c>
      <c r="DZ72" s="68">
        <f>DZ71-0.21</f>
        <v>16.219999999999985</v>
      </c>
      <c r="EA72" s="68">
        <f>EA71+5</f>
        <v>1890</v>
      </c>
      <c r="EB72" s="61">
        <f>DZ72*EA72</f>
        <v>30655.79999999997</v>
      </c>
      <c r="EC72" s="61">
        <f>IF(DY72=0,NA(),EB72/DY72)</f>
        <v>2.1288749999999959</v>
      </c>
      <c r="ED72" s="60">
        <f>5*LN(EB72/DY72)+7.6</f>
        <v>11.377968355884304</v>
      </c>
      <c r="EE72" s="63" t="s">
        <v>45</v>
      </c>
      <c r="EF72" s="60"/>
      <c r="EG72" s="86">
        <v>46286</v>
      </c>
    </row>
    <row r="73" spans="65:137" ht="15">
      <c r="BM73" t="str">
        <f t="shared" si="1"/>
        <v/>
      </c>
      <c r="CI73" s="19">
        <v>46287</v>
      </c>
      <c r="CJ73" s="49">
        <v>7</v>
      </c>
      <c r="CK73" s="87">
        <f>J36</f>
        <v>0</v>
      </c>
      <c r="CL73" s="49">
        <f>DE72</f>
        <v>1685.8390779632075</v>
      </c>
      <c r="CM73" s="42">
        <f>IF($BR$5="S",DW73,IF($BR$5="F",ED73))</f>
        <v>8.3500181462286776</v>
      </c>
      <c r="CN73" s="43">
        <f>CZ72</f>
        <v>763.48800980603278</v>
      </c>
      <c r="CO73" s="6">
        <f>IF($BR$8="",0,IF($BR$8="C",CK73*$BR$7,IF($BR$8=4,DM73,IF($BR$8=5,DN73,IF($BR$8=7,DO73,IF($BR$8=10,DP73,IF($BR$8=14,DQ73,"")))))))</f>
        <v>0</v>
      </c>
      <c r="CP73" s="65">
        <f>CN73*CO73*CP$54</f>
        <v>0</v>
      </c>
      <c r="CQ73" s="69" t="str">
        <f>IF(CO72&gt;0,CN73*CO72*CQ$54,"")</f>
        <v/>
      </c>
      <c r="CR73" s="69" t="str">
        <f>IF(CO71&gt;0,CN73*CO71*CR$54,"")</f>
        <v/>
      </c>
      <c r="CS73" s="69" t="str">
        <f>IF(CO70&gt;0,CN70*CO70*CS$54,"")</f>
        <v/>
      </c>
      <c r="CT73" s="69" t="str">
        <f>IF(CO69&gt;0,CN69*CO69*CT$54,"")</f>
        <v/>
      </c>
      <c r="CU73" s="46">
        <f>CN73-SUM(CP73:CT73)</f>
        <v>763.48800980603278</v>
      </c>
      <c r="CV73" s="47">
        <f>DB72</f>
        <v>963.3247743062584</v>
      </c>
      <c r="CW73" s="47">
        <f>CU73/CM73</f>
        <v>91.435491089425412</v>
      </c>
      <c r="CX73" s="47">
        <f>CW61</f>
        <v>75.864387771839262</v>
      </c>
      <c r="CY73" s="47">
        <f>(CX73*$BS$41)-CX73</f>
        <v>30.345755108735702</v>
      </c>
      <c r="CZ73" s="49">
        <f>CU73-CW73+CX73+CY73</f>
        <v>778.26266159718227</v>
      </c>
      <c r="DA73" s="49">
        <f>CZ73-CN73</f>
        <v>14.774651791149495</v>
      </c>
      <c r="DB73" s="47">
        <f>IF(DB72&lt;2,0,CV73-CX73+CW73)</f>
        <v>978.89587762384463</v>
      </c>
      <c r="DC73" s="49">
        <f>DB73-CV73</f>
        <v>15.571103317586221</v>
      </c>
      <c r="DD73" s="50">
        <f>(CN73+CX73*12)*0.025</f>
        <v>41.846516576702598</v>
      </c>
      <c r="DE73" s="49">
        <f>CZ73+DB73-DD73</f>
        <v>1715.3120226443241</v>
      </c>
      <c r="DF73" s="50"/>
      <c r="DG73" s="51" t="e">
        <f>IF(CO72&gt;0,CP72+CQ73+CL72*0.025,NA())</f>
        <v>#N/A</v>
      </c>
      <c r="DH73" s="52"/>
      <c r="DI73" s="53" t="str">
        <f>IF(CO71&gt;0,SUM(CP71:CR73)/CL71,"")</f>
        <v/>
      </c>
      <c r="DJ73" s="54">
        <f>(CL73-CL72)/CL72</f>
        <v>1.7366090532842087E-2</v>
      </c>
      <c r="DK73" s="70"/>
      <c r="DL73" s="55">
        <v>19</v>
      </c>
      <c r="DM73" s="6"/>
      <c r="DN73" s="6"/>
      <c r="DO73" s="6"/>
      <c r="DP73" s="6"/>
      <c r="DQ73" s="88"/>
      <c r="DR73" s="21" t="e">
        <f>IF(CO73=0,NA(),1)</f>
        <v>#N/A</v>
      </c>
      <c r="DS73" s="57">
        <v>5</v>
      </c>
      <c r="DT73" s="58">
        <f>DS73*4500</f>
        <v>22500</v>
      </c>
      <c r="DU73" s="57">
        <v>20</v>
      </c>
      <c r="DV73" s="57">
        <f>DU73*1800</f>
        <v>36000</v>
      </c>
      <c r="DW73" s="59">
        <f>5*LN(DV73/DT73)+6</f>
        <v>8.3500181462286776</v>
      </c>
      <c r="DX73" s="60">
        <f>DX72-0.1</f>
        <v>3.1000000000000028</v>
      </c>
      <c r="DY73" s="61">
        <f>DX73*4500</f>
        <v>13950.000000000013</v>
      </c>
      <c r="DZ73" s="68">
        <f>DZ72-0.21</f>
        <v>16.009999999999984</v>
      </c>
      <c r="EA73" s="68">
        <f>EA72+5</f>
        <v>1895</v>
      </c>
      <c r="EB73" s="61">
        <f>DZ73*EA73</f>
        <v>30338.949999999968</v>
      </c>
      <c r="EC73" s="61">
        <f>IF(DY73=0,NA(),EB73/DY73)</f>
        <v>2.1748351254480243</v>
      </c>
      <c r="ED73" s="60">
        <f>5*LN(EB73/DY73)+7.6</f>
        <v>11.484764286378182</v>
      </c>
      <c r="EE73" s="63" t="s">
        <v>45</v>
      </c>
      <c r="EF73" s="60"/>
      <c r="EG73" s="86">
        <v>46287</v>
      </c>
    </row>
    <row r="74" spans="65:137" ht="15">
      <c r="BM74" t="str">
        <f t="shared" si="1"/>
        <v/>
      </c>
      <c r="CI74" s="19">
        <v>46288</v>
      </c>
      <c r="CJ74" s="49">
        <v>8</v>
      </c>
      <c r="CK74" s="87">
        <f>K36</f>
        <v>0</v>
      </c>
      <c r="CL74" s="49">
        <f>DE73</f>
        <v>1715.3120226443241</v>
      </c>
      <c r="CM74" s="42">
        <f>IF($BR$5="S",DW74,IF($BR$5="F",ED74))</f>
        <v>8.3500181462286776</v>
      </c>
      <c r="CN74" s="43">
        <f>CZ73</f>
        <v>778.26266159718227</v>
      </c>
      <c r="CO74" s="6">
        <f>IF($BR$8="",0,IF($BR$8="C",CK74*$BR$7,IF($BR$8=4,DM74,IF($BR$8=5,DN74,IF($BR$8=7,DO74,IF($BR$8=10,DP74,IF($BR$8=14,DQ74,"")))))))</f>
        <v>0</v>
      </c>
      <c r="CP74" s="65">
        <f>CN74*CO74*CP$54</f>
        <v>0</v>
      </c>
      <c r="CQ74" s="69" t="str">
        <f>IF(CO73&gt;0,CN74*CO73*CQ$54,"")</f>
        <v/>
      </c>
      <c r="CR74" s="69" t="str">
        <f>IF(CO72&gt;0,CN74*CO72*CR$54,"")</f>
        <v/>
      </c>
      <c r="CS74" s="69" t="str">
        <f>IF(CO71&gt;0,CN71*CO71*CS$54,"")</f>
        <v/>
      </c>
      <c r="CT74" s="69" t="str">
        <f>IF(CO70&gt;0,CN70*CO70*CT$54,"")</f>
        <v/>
      </c>
      <c r="CU74" s="46">
        <f>CN74-SUM(CP74:CT74)</f>
        <v>778.26266159718227</v>
      </c>
      <c r="CV74" s="47">
        <f>DB73</f>
        <v>978.89587762384463</v>
      </c>
      <c r="CW74" s="47">
        <f>CU74/CM74</f>
        <v>93.204906620315313</v>
      </c>
      <c r="CX74" s="47">
        <f>CW62</f>
        <v>77.548055815617261</v>
      </c>
      <c r="CY74" s="47">
        <f>(CX74*$BS$41)-CX74</f>
        <v>31.019222326246904</v>
      </c>
      <c r="CZ74" s="49">
        <f>CU74-CW74+CX74+CY74</f>
        <v>793.62503311873104</v>
      </c>
      <c r="DA74" s="49">
        <f>CZ74-CN74</f>
        <v>15.362371521548766</v>
      </c>
      <c r="DB74" s="47">
        <f>IF(DB73&lt;2,0,CV74-CX74+CW74)</f>
        <v>994.55272842854265</v>
      </c>
      <c r="DC74" s="49">
        <f>DB74-CV74</f>
        <v>15.656850804698024</v>
      </c>
      <c r="DD74" s="50">
        <f>(CN74+CX74*12)*0.025</f>
        <v>42.720983284614739</v>
      </c>
      <c r="DE74" s="49">
        <f>CZ74+DB74-DD74</f>
        <v>1745.4567782626591</v>
      </c>
      <c r="DF74" s="50">
        <f>DD74</f>
        <v>42.720983284614739</v>
      </c>
      <c r="DG74" s="51" t="e">
        <f>IF(CO73&gt;0,CP73+CQ74+CL73*0.025,NA())</f>
        <v>#N/A</v>
      </c>
      <c r="DH74" s="52">
        <f>IF($BR$5="F",315*CZ74/EB74,315*CZ74/DV74)</f>
        <v>6.9442190397888961</v>
      </c>
      <c r="DI74" s="53" t="str">
        <f>IF(CO72&gt;0,SUM(CP72:CR74)/CL72,"")</f>
        <v/>
      </c>
      <c r="DJ74" s="54">
        <f>(CL74-CL73)/CL73</f>
        <v>1.7482656005770807E-2</v>
      </c>
      <c r="DK74" s="70"/>
      <c r="DL74" s="55">
        <v>20</v>
      </c>
      <c r="DM74" s="6"/>
      <c r="DN74" s="6"/>
      <c r="DO74" s="6">
        <f>$BR$7</f>
        <v>0.95</v>
      </c>
      <c r="DP74" s="88"/>
      <c r="DQ74" s="6"/>
      <c r="DR74" s="21" t="e">
        <f>IF(CO74=0,NA(),1)</f>
        <v>#N/A</v>
      </c>
      <c r="DS74" s="57">
        <v>5</v>
      </c>
      <c r="DT74" s="58">
        <f>DS74*4500</f>
        <v>22500</v>
      </c>
      <c r="DU74" s="57">
        <v>20</v>
      </c>
      <c r="DV74" s="57">
        <f>DU74*1800</f>
        <v>36000</v>
      </c>
      <c r="DW74" s="59">
        <f>5*LN(DV74/DT74)+6</f>
        <v>8.3500181462286776</v>
      </c>
      <c r="DX74" s="60">
        <f>DX73-0.1</f>
        <v>3.0000000000000027</v>
      </c>
      <c r="DY74" s="61">
        <f>DX74*4500</f>
        <v>13500.000000000013</v>
      </c>
      <c r="DZ74" s="68">
        <f>DZ73-0.21</f>
        <v>15.799999999999983</v>
      </c>
      <c r="EA74" s="68">
        <f>EA73+5</f>
        <v>1900</v>
      </c>
      <c r="EB74" s="61">
        <f>DZ74*EA74</f>
        <v>30019.999999999967</v>
      </c>
      <c r="EC74" s="61">
        <f>IF(DY74=0,NA(),EB74/DY74)</f>
        <v>2.2237037037036993</v>
      </c>
      <c r="ED74" s="60">
        <f>5*LN(EB74/DY74)+7.6</f>
        <v>11.59587070380465</v>
      </c>
      <c r="EE74" s="63" t="s">
        <v>45</v>
      </c>
      <c r="EF74" s="60"/>
      <c r="EG74" s="86">
        <v>46288</v>
      </c>
    </row>
    <row r="75" spans="65:137" ht="15">
      <c r="BM75" t="str">
        <f t="shared" si="1"/>
        <v/>
      </c>
      <c r="CI75" s="19">
        <v>46289</v>
      </c>
      <c r="CJ75" s="49">
        <v>9</v>
      </c>
      <c r="CK75" s="87">
        <f>L36</f>
        <v>0</v>
      </c>
      <c r="CL75" s="49">
        <f>DE74</f>
        <v>1745.4567782626591</v>
      </c>
      <c r="CM75" s="42">
        <f>IF($BR$5="S",DW75,IF($BR$5="F",ED75))</f>
        <v>8.3500181462286776</v>
      </c>
      <c r="CN75" s="43">
        <f>CZ74</f>
        <v>793.62503311873104</v>
      </c>
      <c r="CO75" s="6">
        <f>IF($BR$8="",0,IF($BR$8="C",CK75*$BR$7,IF($BR$8=4,DM75,IF($BR$8=5,DN75,IF($BR$8=7,DO75,IF($BR$8=10,DP75,IF($BR$8=14,DQ75,"")))))))</f>
        <v>0</v>
      </c>
      <c r="CP75" s="65">
        <f>CN75*CO75*CP$54</f>
        <v>0</v>
      </c>
      <c r="CQ75" s="69" t="str">
        <f>IF(CO74&gt;0,CN75*CO74*CQ$54,"")</f>
        <v/>
      </c>
      <c r="CR75" s="69" t="str">
        <f>IF(CO73&gt;0,CN75*CO73*CR$54,"")</f>
        <v/>
      </c>
      <c r="CS75" s="69" t="str">
        <f>IF(CO72&gt;0,CN72*CO72*CS$54,"")</f>
        <v/>
      </c>
      <c r="CT75" s="69" t="str">
        <f>IF(CO71&gt;0,CN71*CO71*CT$54,"")</f>
        <v/>
      </c>
      <c r="CU75" s="46">
        <f>CN75-SUM(CP75:CT75)</f>
        <v>793.62503311873104</v>
      </c>
      <c r="CV75" s="47">
        <f>DB74</f>
        <v>994.55272842854265</v>
      </c>
      <c r="CW75" s="47">
        <f>CU75/CM75</f>
        <v>95.044707594698494</v>
      </c>
      <c r="CX75" s="47">
        <f>CW63</f>
        <v>79.192632925042602</v>
      </c>
      <c r="CY75" s="47">
        <f>(CX75*$BS$41)-CX75</f>
        <v>31.677053170017032</v>
      </c>
      <c r="CZ75" s="49">
        <f>CU75-CW75+CX75+CY75</f>
        <v>809.45001161909227</v>
      </c>
      <c r="DA75" s="49">
        <f>CZ75-CN75</f>
        <v>15.824978500361226</v>
      </c>
      <c r="DB75" s="47">
        <f>IF(DB74&lt;2,0,CV75-CX75+CW75)</f>
        <v>1010.4048030981985</v>
      </c>
      <c r="DC75" s="49">
        <f>DB75-CV75</f>
        <v>15.852074669655849</v>
      </c>
      <c r="DD75" s="50">
        <f>(CN75+CX75*12)*0.025</f>
        <v>43.598415705481059</v>
      </c>
      <c r="DE75" s="49">
        <f>CZ75+DB75-DD75</f>
        <v>1776.2563990118097</v>
      </c>
      <c r="DF75" s="50"/>
      <c r="DG75" s="51" t="e">
        <f>IF(CO74&gt;0,CP74+CQ75+CL74*0.025,NA())</f>
        <v>#N/A</v>
      </c>
      <c r="DH75" s="52"/>
      <c r="DI75" s="53" t="str">
        <f>IF(CO73&gt;0,SUM(CP73:CR75)/CL73,"")</f>
        <v/>
      </c>
      <c r="DJ75" s="54">
        <f>(CL75-CL74)/CL74</f>
        <v>1.7573919625342493E-2</v>
      </c>
      <c r="DK75" s="41"/>
      <c r="DL75" s="55">
        <v>21</v>
      </c>
      <c r="DM75" s="6">
        <f>$BR$7</f>
        <v>0.95</v>
      </c>
      <c r="DN75" s="6"/>
      <c r="DO75" s="6"/>
      <c r="DP75" s="6"/>
      <c r="DQ75" s="6"/>
      <c r="DR75" s="21" t="e">
        <f>IF(CO75=0,NA(),1)</f>
        <v>#N/A</v>
      </c>
      <c r="DS75" s="57">
        <v>5</v>
      </c>
      <c r="DT75" s="58">
        <f>DS75*4500</f>
        <v>22500</v>
      </c>
      <c r="DU75" s="57">
        <v>20</v>
      </c>
      <c r="DV75" s="57">
        <f>DU75*1800</f>
        <v>36000</v>
      </c>
      <c r="DW75" s="59">
        <f>5*LN(DV75/DT75)+6</f>
        <v>8.3500181462286776</v>
      </c>
      <c r="DX75" s="60">
        <f>DX74-0.1</f>
        <v>2.9000000000000026</v>
      </c>
      <c r="DY75" s="61">
        <f>DX75*4500</f>
        <v>13050.000000000011</v>
      </c>
      <c r="DZ75" s="68">
        <f>DZ74-0.21</f>
        <v>15.589999999999982</v>
      </c>
      <c r="EA75" s="68">
        <f>EA74+5</f>
        <v>1905</v>
      </c>
      <c r="EB75" s="61">
        <f>DZ75*EA75</f>
        <v>29698.949999999964</v>
      </c>
      <c r="EC75" s="61">
        <f>IF(DY75=0,NA(),EB75/DY75)</f>
        <v>2.2757816091953975</v>
      </c>
      <c r="ED75" s="60">
        <f>5*LN(EB75/DY75)+7.6</f>
        <v>11.711617789398225</v>
      </c>
      <c r="EE75" s="63" t="s">
        <v>45</v>
      </c>
      <c r="EF75" s="60"/>
      <c r="EG75" s="86">
        <v>46289</v>
      </c>
    </row>
    <row r="76" spans="65:137" ht="15">
      <c r="BM76" t="str">
        <f t="shared" si="1"/>
        <v/>
      </c>
      <c r="CI76" s="19">
        <v>46290</v>
      </c>
      <c r="CJ76" s="49">
        <v>10</v>
      </c>
      <c r="CK76" s="87">
        <f>M36</f>
        <v>0</v>
      </c>
      <c r="CL76" s="49">
        <f>DE75</f>
        <v>1776.2563990118097</v>
      </c>
      <c r="CM76" s="42">
        <f>IF($BR$5="S",DW76,IF($BR$5="F",ED76))</f>
        <v>8.3500181462286776</v>
      </c>
      <c r="CN76" s="43">
        <f>CZ75</f>
        <v>809.45001161909227</v>
      </c>
      <c r="CO76" s="6">
        <f>IF($BR$8="",0,IF($BR$8="C",CK76*$BR$7,IF($BR$8=4,DM76,IF($BR$8=5,DN76,IF($BR$8=7,DO76,IF($BR$8=10,DP76,IF($BR$8=14,DQ76,"")))))))</f>
        <v>0</v>
      </c>
      <c r="CP76" s="65">
        <f>CN76*CO76*CP$54</f>
        <v>0</v>
      </c>
      <c r="CQ76" s="69" t="str">
        <f>IF(CO75&gt;0,CN76*CO75*CQ$54,"")</f>
        <v/>
      </c>
      <c r="CR76" s="69" t="str">
        <f>IF(CO74&gt;0,CN76*CO74*CR$54,"")</f>
        <v/>
      </c>
      <c r="CS76" s="69" t="str">
        <f>IF(CO73&gt;0,CN73*CO73*CS$54,"")</f>
        <v/>
      </c>
      <c r="CT76" s="69" t="str">
        <f>IF(CO72&gt;0,CN72*CO72*CT$54,"")</f>
        <v/>
      </c>
      <c r="CU76" s="46">
        <f>CN76-SUM(CP76:CT76)</f>
        <v>809.45001161909227</v>
      </c>
      <c r="CV76" s="47">
        <f>DB75</f>
        <v>1010.4048030981985</v>
      </c>
      <c r="CW76" s="47">
        <f>CU76/CM76</f>
        <v>96.939910482072889</v>
      </c>
      <c r="CX76" s="47">
        <f>CW64</f>
        <v>80.8127794319375</v>
      </c>
      <c r="CY76" s="47">
        <f>(CX76*$BS$41)-CX76</f>
        <v>32.325111772774989</v>
      </c>
      <c r="CZ76" s="49">
        <f>CU76-CW76+CX76+CY76</f>
        <v>825.64799234173188</v>
      </c>
      <c r="DA76" s="49">
        <f>CZ76-CN76</f>
        <v>16.197980722639613</v>
      </c>
      <c r="DB76" s="47">
        <f>IF(DB75&lt;2,0,CV76-CX76+CW76)</f>
        <v>1026.5319341483339</v>
      </c>
      <c r="DC76" s="49">
        <f>DB76-CV76</f>
        <v>16.127131050135404</v>
      </c>
      <c r="DD76" s="50">
        <f>(CN76+CX76*12)*0.025</f>
        <v>44.480084120058564</v>
      </c>
      <c r="DE76" s="49">
        <f>CZ76+DB76-DD76</f>
        <v>1807.6998423700072</v>
      </c>
      <c r="DF76" s="50">
        <f>DD76</f>
        <v>44.480084120058564</v>
      </c>
      <c r="DG76" s="51" t="e">
        <f>IF(CO75&gt;0,CP75+CQ76+CL75*0.025,NA())</f>
        <v>#N/A</v>
      </c>
      <c r="DH76" s="52"/>
      <c r="DI76" s="53" t="str">
        <f>IF(CO74&gt;0,SUM(CP74:CR76)/CL74,"")</f>
        <v/>
      </c>
      <c r="DJ76" s="54">
        <f>(CL76-CL75)/CL75</f>
        <v>1.7645593481728589E-2</v>
      </c>
      <c r="DK76" s="70"/>
      <c r="DL76" s="55">
        <v>22</v>
      </c>
      <c r="DM76" s="6"/>
      <c r="DN76" s="6">
        <f>$BR$7</f>
        <v>0.95</v>
      </c>
      <c r="DO76" s="6"/>
      <c r="DP76" s="6"/>
      <c r="DQ76" s="88"/>
      <c r="DR76" s="21" t="e">
        <f>IF(CO76=0,NA(),1)</f>
        <v>#N/A</v>
      </c>
      <c r="DS76" s="57">
        <v>5</v>
      </c>
      <c r="DT76" s="58">
        <f>DS76*4500</f>
        <v>22500</v>
      </c>
      <c r="DU76" s="57">
        <v>20</v>
      </c>
      <c r="DV76" s="57">
        <f>DU76*1800</f>
        <v>36000</v>
      </c>
      <c r="DW76" s="59">
        <f>5*LN(DV76/DT76)+6</f>
        <v>8.3500181462286776</v>
      </c>
      <c r="DX76" s="60">
        <f>DX75-0.1</f>
        <v>2.8000000000000025</v>
      </c>
      <c r="DY76" s="61">
        <f>DX76*4500</f>
        <v>12600.000000000011</v>
      </c>
      <c r="DZ76" s="68">
        <f>DZ75-0.21</f>
        <v>15.379999999999981</v>
      </c>
      <c r="EA76" s="68">
        <f>EA75+5</f>
        <v>1910</v>
      </c>
      <c r="EB76" s="61">
        <f>DZ76*EA76</f>
        <v>29375.799999999963</v>
      </c>
      <c r="EC76" s="61">
        <f>IF(DY76=0,NA(),EB76/DY76)</f>
        <v>2.3314126984126933</v>
      </c>
      <c r="ED76" s="60">
        <f>5*LN(EB76/DY76)+7.6</f>
        <v>11.83237196089301</v>
      </c>
      <c r="EE76" s="63" t="s">
        <v>45</v>
      </c>
      <c r="EF76" s="60"/>
      <c r="EG76" s="86">
        <v>46290</v>
      </c>
    </row>
    <row r="77" spans="65:137" ht="15">
      <c r="BM77" t="str">
        <f t="shared" si="1"/>
        <v/>
      </c>
      <c r="CI77" s="19">
        <v>46291</v>
      </c>
      <c r="CJ77" s="49">
        <v>11</v>
      </c>
      <c r="CK77" s="87">
        <f>N36</f>
        <v>0</v>
      </c>
      <c r="CL77" s="49">
        <f>DE76</f>
        <v>1807.6998423700072</v>
      </c>
      <c r="CM77" s="42">
        <f>IF($BR$5="S",DW77,IF($BR$5="F",ED77))</f>
        <v>8.3500181462286776</v>
      </c>
      <c r="CN77" s="43">
        <f>CZ76</f>
        <v>825.64799234173188</v>
      </c>
      <c r="CO77" s="6">
        <f>IF($BR$8="",0,IF($BR$8="C",CK77*$BR$7,IF($BR$8=4,DM77,IF($BR$8=5,DN77,IF($BR$8=7,DO77,IF($BR$8=10,DP77,IF($BR$8=14,DQ77,"")))))))</f>
        <v>0</v>
      </c>
      <c r="CP77" s="65">
        <f>CN77*CO77*CP$54</f>
        <v>0</v>
      </c>
      <c r="CQ77" s="69" t="str">
        <f>IF(CO76&gt;0,CN77*CO76*CQ$54,"")</f>
        <v/>
      </c>
      <c r="CR77" s="69" t="str">
        <f>IF(CO75&gt;0,CN77*CO75*CR$54,"")</f>
        <v/>
      </c>
      <c r="CS77" s="69" t="str">
        <f>IF(CO74&gt;0,CN74*CO74*CS$54,"")</f>
        <v/>
      </c>
      <c r="CT77" s="69" t="str">
        <f>IF(CO73&gt;0,CN73*CO73*CT$54,"")</f>
        <v/>
      </c>
      <c r="CU77" s="46">
        <f>CN77-SUM(CP77:CT77)</f>
        <v>825.64799234173188</v>
      </c>
      <c r="CV77" s="47">
        <f>DB76</f>
        <v>1026.5319341483339</v>
      </c>
      <c r="CW77" s="47">
        <f>CU77/CM77</f>
        <v>98.879784197192365</v>
      </c>
      <c r="CX77" s="47">
        <f>CW65</f>
        <v>82.420022197964215</v>
      </c>
      <c r="CY77" s="47">
        <f>(CX77*$BS$41)-CX77</f>
        <v>32.968008879185675</v>
      </c>
      <c r="CZ77" s="49">
        <f>CU77-CW77+CX77+CY77</f>
        <v>842.15623922168925</v>
      </c>
      <c r="DA77" s="49">
        <f>CZ77-CN77</f>
        <v>16.508246879957369</v>
      </c>
      <c r="DB77" s="47">
        <f>IF(DB76&lt;2,0,CV77-CX77+CW77)</f>
        <v>1042.9916961475619</v>
      </c>
      <c r="DC77" s="49">
        <f>DB77-CV77</f>
        <v>16.459761999228022</v>
      </c>
      <c r="DD77" s="50">
        <f>(CN77+CX77*12)*0.025</f>
        <v>45.367206467932562</v>
      </c>
      <c r="DE77" s="49">
        <f>CZ77+DB77-DD77</f>
        <v>1839.7807289013185</v>
      </c>
      <c r="DF77" s="50"/>
      <c r="DG77" s="51" t="e">
        <f>IF(CO76&gt;0,CP76+CQ77+CL76*0.025,NA())</f>
        <v>#N/A</v>
      </c>
      <c r="DH77" s="52"/>
      <c r="DI77" s="53" t="str">
        <f>IF(CO75&gt;0,SUM(CP75:CR77)/CL75,"")</f>
        <v/>
      </c>
      <c r="DJ77" s="54">
        <f>(CL77-CL76)/CL76</f>
        <v>1.7702085901388213E-2</v>
      </c>
      <c r="DK77" s="70"/>
      <c r="DL77" s="55">
        <v>23</v>
      </c>
      <c r="DM77" s="6"/>
      <c r="DN77" s="6"/>
      <c r="DO77" s="6"/>
      <c r="DP77" s="6">
        <f>$BR$7</f>
        <v>0.95</v>
      </c>
      <c r="DQ77" s="6"/>
      <c r="DR77" s="21" t="e">
        <f>IF(CO77=0,NA(),1)</f>
        <v>#N/A</v>
      </c>
      <c r="DS77" s="57">
        <v>5</v>
      </c>
      <c r="DT77" s="58">
        <f>DS77*4500</f>
        <v>22500</v>
      </c>
      <c r="DU77" s="57">
        <v>20</v>
      </c>
      <c r="DV77" s="57">
        <f>DU77*1800</f>
        <v>36000</v>
      </c>
      <c r="DW77" s="59">
        <f>5*LN(DV77/DT77)+6</f>
        <v>8.3500181462286776</v>
      </c>
      <c r="DX77" s="60">
        <f>DX76-0.1</f>
        <v>2.7000000000000024</v>
      </c>
      <c r="DY77" s="61">
        <f>DX77*4500</f>
        <v>12150.000000000011</v>
      </c>
      <c r="DZ77" s="68">
        <f>DZ76-0.21</f>
        <v>15.16999999999998</v>
      </c>
      <c r="EA77" s="68">
        <f>EA76+5</f>
        <v>1915</v>
      </c>
      <c r="EB77" s="61">
        <f>DZ77*EA77</f>
        <v>29050.549999999963</v>
      </c>
      <c r="EC77" s="61">
        <f>IF(DY77=0,NA(),EB77/DY77)</f>
        <v>2.3909917695473197</v>
      </c>
      <c r="ED77" s="60">
        <f>5*LN(EB77/DY77)+7.6</f>
        <v>11.958541231032452</v>
      </c>
      <c r="EE77" s="63" t="s">
        <v>45</v>
      </c>
      <c r="EF77" s="60"/>
      <c r="EG77" s="86">
        <v>46291</v>
      </c>
    </row>
    <row r="78" spans="65:137" ht="15">
      <c r="BM78" t="str">
        <f t="shared" si="1"/>
        <v/>
      </c>
      <c r="CI78" s="19">
        <v>46292</v>
      </c>
      <c r="CJ78" s="49">
        <v>12</v>
      </c>
      <c r="CK78" s="87">
        <f>O36</f>
        <v>0</v>
      </c>
      <c r="CL78" s="49">
        <f>DE77</f>
        <v>1839.7807289013185</v>
      </c>
      <c r="CM78" s="42">
        <f>IF($BR$5="S",DW78,IF($BR$5="F",ED78))</f>
        <v>8.3500181462286776</v>
      </c>
      <c r="CN78" s="43">
        <f>CZ77</f>
        <v>842.15623922168925</v>
      </c>
      <c r="CO78" s="6">
        <f>IF($BR$8="",0,IF($BR$8="C",CK78*$BR$7,IF($BR$8=4,DM78,IF($BR$8=5,DN78,IF($BR$8=7,DO78,IF($BR$8=10,DP78,IF($BR$8=14,DQ78,"")))))))</f>
        <v>0</v>
      </c>
      <c r="CP78" s="65">
        <f>CN78*CO78*CP$54</f>
        <v>0</v>
      </c>
      <c r="CQ78" s="69" t="str">
        <f>IF(CO77&gt;0,CN78*CO77*CQ$54,"")</f>
        <v/>
      </c>
      <c r="CR78" s="69" t="str">
        <f>IF(CO76&gt;0,CN78*CO76*CR$54,"")</f>
        <v/>
      </c>
      <c r="CS78" s="69" t="str">
        <f>IF(CO75&gt;0,CN75*CO75*CS$54,"")</f>
        <v/>
      </c>
      <c r="CT78" s="69" t="str">
        <f>IF(CO74&gt;0,CN74*CO74*CT$54,"")</f>
        <v/>
      </c>
      <c r="CU78" s="46">
        <f>CN78-SUM(CP78:CT78)</f>
        <v>842.15623922168925</v>
      </c>
      <c r="CV78" s="47">
        <f>DB77</f>
        <v>1042.9916961475619</v>
      </c>
      <c r="CW78" s="47">
        <f>CU78/CM78</f>
        <v>100.85681545519189</v>
      </c>
      <c r="CX78" s="47">
        <f>CW66</f>
        <v>84.02344952636183</v>
      </c>
      <c r="CY78" s="47">
        <f>(CX78*$BS$41)-CX78</f>
        <v>33.609379810544723</v>
      </c>
      <c r="CZ78" s="49">
        <f>CU78-CW78+CX78+CY78</f>
        <v>858.93225310340392</v>
      </c>
      <c r="DA78" s="49">
        <f>CZ78-CN78</f>
        <v>16.776013881714675</v>
      </c>
      <c r="DB78" s="47">
        <f>IF(DB77&lt;2,0,CV78-CX78+CW78)</f>
        <v>1059.825062076392</v>
      </c>
      <c r="DC78" s="49">
        <f>DB78-CV78</f>
        <v>16.833365928830062</v>
      </c>
      <c r="DD78" s="50">
        <f>(CN78+CX78*12)*0.025</f>
        <v>46.260940838450779</v>
      </c>
      <c r="DE78" s="49">
        <f>CZ78+DB78-DD78</f>
        <v>1872.4963743413452</v>
      </c>
      <c r="DF78" s="50">
        <f>DD78</f>
        <v>46.260940838450779</v>
      </c>
      <c r="DG78" s="51" t="e">
        <f>IF(CO77&gt;0,CP77+CQ78+CL77*0.025,NA())</f>
        <v>#N/A</v>
      </c>
      <c r="DH78" s="52"/>
      <c r="DI78" s="53" t="str">
        <f>IF(CO76&gt;0,SUM(CP76:CR78)/CL76,"")</f>
        <v/>
      </c>
      <c r="DJ78" s="54">
        <f>(CL78-CL77)/CL77</f>
        <v>1.7746799429517714E-2</v>
      </c>
      <c r="DK78" s="41">
        <f>CL78</f>
        <v>1839.7807289013185</v>
      </c>
      <c r="DL78" s="55">
        <v>24</v>
      </c>
      <c r="DM78" s="6"/>
      <c r="DN78" s="6"/>
      <c r="DO78" s="6"/>
      <c r="DP78" s="6"/>
      <c r="DQ78" s="6"/>
      <c r="DR78" s="21" t="e">
        <f>IF(CO78=0,NA(),1)</f>
        <v>#N/A</v>
      </c>
      <c r="DS78" s="57">
        <v>5</v>
      </c>
      <c r="DT78" s="58">
        <f>DS78*4500</f>
        <v>22500</v>
      </c>
      <c r="DU78" s="57">
        <v>20</v>
      </c>
      <c r="DV78" s="57">
        <f>DU78*1800</f>
        <v>36000</v>
      </c>
      <c r="DW78" s="59">
        <f>5*LN(DV78/DT78)+6</f>
        <v>8.3500181462286776</v>
      </c>
      <c r="DX78" s="60">
        <f>DX77-0.1</f>
        <v>2.6000000000000023</v>
      </c>
      <c r="DY78" s="61">
        <f>DX78*4500</f>
        <v>11700.000000000011</v>
      </c>
      <c r="DZ78" s="68">
        <f>DZ77-0.21</f>
        <v>14.95999999999998</v>
      </c>
      <c r="EA78" s="68">
        <f>EA77+5</f>
        <v>1920</v>
      </c>
      <c r="EB78" s="61">
        <f>DZ78*EA78</f>
        <v>28723.199999999961</v>
      </c>
      <c r="EC78" s="61">
        <f>IF(DY78=0,NA(),EB78/DY78)</f>
        <v>2.4549743589743533</v>
      </c>
      <c r="ED78" s="60">
        <f>5*LN(EB78/DY78)+7.6</f>
        <v>12.090581583911543</v>
      </c>
      <c r="EE78" s="63" t="s">
        <v>45</v>
      </c>
      <c r="EF78" s="60"/>
      <c r="EG78" s="86">
        <v>46292</v>
      </c>
    </row>
    <row r="79" spans="65:137" ht="15">
      <c r="BM79" t="str">
        <f t="shared" si="1"/>
        <v/>
      </c>
      <c r="CI79" s="19">
        <v>46293</v>
      </c>
      <c r="CJ79" s="49">
        <v>13</v>
      </c>
      <c r="CK79" s="87">
        <f>P36</f>
        <v>0</v>
      </c>
      <c r="CL79" s="49">
        <f>DE78</f>
        <v>1872.4963743413452</v>
      </c>
      <c r="CM79" s="42">
        <f>IF($BR$5="S",DW79,IF($BR$5="F",ED79))</f>
        <v>8.3500181462286776</v>
      </c>
      <c r="CN79" s="43">
        <f>CZ78</f>
        <v>858.93225310340392</v>
      </c>
      <c r="CO79" s="6">
        <f>IF($BR$8="",0,IF($BR$8="C",CK79*$BR$7,IF($BR$8=4,DM79,IF($BR$8=5,DN79,IF($BR$8=7,DO79,IF($BR$8=10,DP79,IF($BR$8=14,DQ79,"")))))))</f>
        <v>0</v>
      </c>
      <c r="CP79" s="65">
        <f>CN79*CO79*CP$54</f>
        <v>0</v>
      </c>
      <c r="CQ79" s="69" t="str">
        <f>IF(CO78&gt;0,CN79*CO78*CQ$54,"")</f>
        <v/>
      </c>
      <c r="CR79" s="69" t="str">
        <f>IF(CO77&gt;0,CN79*CO77*CR$54,"")</f>
        <v/>
      </c>
      <c r="CS79" s="69" t="str">
        <f>IF(CO76&gt;0,CN76*CO76*CS$54,"")</f>
        <v/>
      </c>
      <c r="CT79" s="69" t="str">
        <f>IF(CO75&gt;0,CN75*CO75*CT$54,"")</f>
        <v/>
      </c>
      <c r="CU79" s="46">
        <f>CN79-SUM(CP79:CT79)</f>
        <v>858.93225310340392</v>
      </c>
      <c r="CV79" s="47">
        <f>DB78</f>
        <v>1059.825062076392</v>
      </c>
      <c r="CW79" s="47">
        <f>CU79/CM79</f>
        <v>102.86591454790364</v>
      </c>
      <c r="CX79" s="47">
        <f>CW67</f>
        <v>84.110849558212394</v>
      </c>
      <c r="CY79" s="47">
        <f>(CX79*$BS$41)-CX79</f>
        <v>33.644339823284952</v>
      </c>
      <c r="CZ79" s="49">
        <f>CU79-CW79+CX79+CY79</f>
        <v>873.82152793699765</v>
      </c>
      <c r="DA79" s="49">
        <f>CZ79-CN79</f>
        <v>14.889274833593731</v>
      </c>
      <c r="DB79" s="47">
        <f>IF(DB78&lt;2,0,CV79-CX79+CW79)</f>
        <v>1078.5801270660832</v>
      </c>
      <c r="DC79" s="49">
        <f>DB79-CV79</f>
        <v>18.755064989691164</v>
      </c>
      <c r="DD79" s="50">
        <f>(CN79+CX79*12)*0.025</f>
        <v>46.706561195048813</v>
      </c>
      <c r="DE79" s="49">
        <f>CZ79+DB79-DD79</f>
        <v>1905.695093808032</v>
      </c>
      <c r="DF79" s="50"/>
      <c r="DG79" s="51" t="e">
        <f>IF(CO78&gt;0,CP78+CQ79+CL78*0.025,NA())</f>
        <v>#N/A</v>
      </c>
      <c r="DH79" s="52"/>
      <c r="DI79" s="53" t="str">
        <f>IF(CO77&gt;0,SUM(CP77:CR79)/CL77,"")</f>
        <v/>
      </c>
      <c r="DJ79" s="54">
        <f>(CL79-CL78)/CL78</f>
        <v>1.7782361194512496E-2</v>
      </c>
      <c r="DK79" s="70"/>
      <c r="DL79" s="55">
        <v>25</v>
      </c>
      <c r="DM79" s="6">
        <f>$BR$7</f>
        <v>0.95</v>
      </c>
      <c r="DN79" s="6"/>
      <c r="DO79" s="88"/>
      <c r="DP79" s="6"/>
      <c r="DQ79" s="88"/>
      <c r="DR79" s="21" t="e">
        <f>IF(CO79=0,NA(),1)</f>
        <v>#N/A</v>
      </c>
      <c r="DS79" s="57">
        <v>5</v>
      </c>
      <c r="DT79" s="58">
        <f>DS79*4500</f>
        <v>22500</v>
      </c>
      <c r="DU79" s="57">
        <v>20</v>
      </c>
      <c r="DV79" s="57">
        <f>DU79*1800</f>
        <v>36000</v>
      </c>
      <c r="DW79" s="59">
        <f>5*LN(DV79/DT79)+6</f>
        <v>8.3500181462286776</v>
      </c>
      <c r="DX79" s="60">
        <f>DX78-0.1</f>
        <v>2.5000000000000022</v>
      </c>
      <c r="DY79" s="61">
        <f>DX79*4500</f>
        <v>11250.000000000009</v>
      </c>
      <c r="DZ79" s="68">
        <f>DZ78-0.21</f>
        <v>14.749999999999979</v>
      </c>
      <c r="EA79" s="68">
        <f>EA78+5</f>
        <v>1925</v>
      </c>
      <c r="EB79" s="61">
        <f>DZ79*EA79</f>
        <v>28393.74999999996</v>
      </c>
      <c r="EC79" s="61">
        <f>IF(DY79=0,NA(),EB79/DY79)</f>
        <v>2.5238888888888833</v>
      </c>
      <c r="ED79" s="60">
        <f>5*LN(EB79/DY79)+7.6</f>
        <v>12.229004609375725</v>
      </c>
      <c r="EE79" s="63" t="s">
        <v>45</v>
      </c>
      <c r="EF79" s="60"/>
      <c r="EG79" s="86">
        <v>46293</v>
      </c>
    </row>
    <row r="80" spans="65:137" ht="15">
      <c r="BM80" t="str">
        <f t="shared" si="1"/>
        <v/>
      </c>
      <c r="CI80" s="19">
        <v>46294</v>
      </c>
      <c r="CJ80" s="49">
        <v>14</v>
      </c>
      <c r="CK80" s="87">
        <f>Q36</f>
        <v>0</v>
      </c>
      <c r="CL80" s="49">
        <f>DE79</f>
        <v>1905.695093808032</v>
      </c>
      <c r="CM80" s="42">
        <f>IF($BR$5="S",DW80,IF($BR$5="F",ED80))</f>
        <v>8.3500181462286776</v>
      </c>
      <c r="CN80" s="43">
        <f>CZ79</f>
        <v>873.82152793699765</v>
      </c>
      <c r="CO80" s="6">
        <f>IF($BR$8="",0,IF($BR$8="C",CK80*$BR$7,IF($BR$8=4,DM80,IF($BR$8=5,DN80,IF($BR$8=7,DO80,IF($BR$8=10,DP80,IF($BR$8=14,DQ80,"")))))))</f>
        <v>0</v>
      </c>
      <c r="CP80" s="65">
        <f>CN80*CO80*CP$54</f>
        <v>0</v>
      </c>
      <c r="CQ80" s="69" t="str">
        <f>IF(CO79&gt;0,CN80*CO79*CQ$54,"")</f>
        <v/>
      </c>
      <c r="CR80" s="69" t="str">
        <f>IF(CO78&gt;0,CN80*CO78*CR$54,"")</f>
        <v/>
      </c>
      <c r="CS80" s="69" t="str">
        <f>IF(CO77&gt;0,CN77*CO77*CS$54,"")</f>
        <v/>
      </c>
      <c r="CT80" s="69" t="str">
        <f>IF(CO76&gt;0,CN76*CO76*CT$54,"")</f>
        <v/>
      </c>
      <c r="CU80" s="46">
        <f>CN80-SUM(CP80:CT80)</f>
        <v>873.82152793699765</v>
      </c>
      <c r="CV80" s="47">
        <f>DB79</f>
        <v>1078.5801270660832</v>
      </c>
      <c r="CW80" s="47">
        <f>CU80/CM80</f>
        <v>104.64905735943377</v>
      </c>
      <c r="CX80" s="47">
        <f>CW68</f>
        <v>84.674012227994126</v>
      </c>
      <c r="CY80" s="47">
        <f>(CX80*$BS$41)-CX80</f>
        <v>33.869604891197639</v>
      </c>
      <c r="CZ80" s="49">
        <f>CU80-CW80+CX80+CY80</f>
        <v>887.71608769675572</v>
      </c>
      <c r="DA80" s="49">
        <f>CZ80-CN80</f>
        <v>13.894559759758067</v>
      </c>
      <c r="DB80" s="47">
        <f>IF(DB79&lt;2,0,CV80-CX80+CW80)</f>
        <v>1098.5551721975228</v>
      </c>
      <c r="DC80" s="49">
        <f>DB80-CV80</f>
        <v>19.975045131439629</v>
      </c>
      <c r="DD80" s="50">
        <f>(CN80+CX80*12)*0.025</f>
        <v>47.247741866823183</v>
      </c>
      <c r="DE80" s="49">
        <f>CZ80+DB80-DD80</f>
        <v>1939.0235180274553</v>
      </c>
      <c r="DF80" s="50">
        <f>DD80</f>
        <v>47.247741866823183</v>
      </c>
      <c r="DG80" s="51" t="e">
        <f>IF(CO79&gt;0,CP79+CQ80+CL79*0.025,NA())</f>
        <v>#N/A</v>
      </c>
      <c r="DH80" s="52"/>
      <c r="DI80" s="53" t="str">
        <f>IF(CO78&gt;0,SUM(CP78:CR80)/CL78,"")</f>
        <v/>
      </c>
      <c r="DJ80" s="54">
        <f>(CL80-CL79)/CL79</f>
        <v>1.7729657542522318E-2</v>
      </c>
      <c r="DK80" s="70"/>
      <c r="DL80" s="55">
        <v>26</v>
      </c>
      <c r="DM80" s="6"/>
      <c r="DN80" s="6"/>
      <c r="DO80" s="6"/>
      <c r="DP80" s="88"/>
      <c r="DQ80" s="88"/>
      <c r="DR80" s="21" t="e">
        <f>IF(CO80=0,NA(),1)</f>
        <v>#N/A</v>
      </c>
      <c r="DS80" s="57">
        <v>5</v>
      </c>
      <c r="DT80" s="58">
        <f>DS80*4500</f>
        <v>22500</v>
      </c>
      <c r="DU80" s="57">
        <v>20</v>
      </c>
      <c r="DV80" s="57">
        <f>DU80*1800</f>
        <v>36000</v>
      </c>
      <c r="DW80" s="59">
        <f>5*LN(DV80/DT80)+6</f>
        <v>8.3500181462286776</v>
      </c>
      <c r="DX80" s="60">
        <f>DX79-0.1</f>
        <v>2.4000000000000021</v>
      </c>
      <c r="DY80" s="61">
        <f>DX80*4500</f>
        <v>10800.000000000009</v>
      </c>
      <c r="DZ80" s="68">
        <f>DZ79-0.21</f>
        <v>14.539999999999978</v>
      </c>
      <c r="EA80" s="68">
        <f>EA79+5</f>
        <v>1930</v>
      </c>
      <c r="EB80" s="61">
        <f>DZ80*EA80</f>
        <v>28062.199999999957</v>
      </c>
      <c r="EC80" s="61">
        <f>IF(DY80=0,NA(),EB80/DY80)</f>
        <v>2.5983518518518456</v>
      </c>
      <c r="ED80" s="60">
        <f>5*LN(EB80/DY80)+7.6</f>
        <v>12.374386704459955</v>
      </c>
      <c r="EE80" s="63" t="s">
        <v>45</v>
      </c>
      <c r="EF80" s="60"/>
      <c r="EG80" s="86">
        <v>46294</v>
      </c>
    </row>
    <row r="81" spans="65:137" ht="15">
      <c r="BM81" t="str">
        <f t="shared" si="1"/>
        <v/>
      </c>
      <c r="CI81" s="19">
        <v>46295</v>
      </c>
      <c r="CJ81" s="49">
        <v>15</v>
      </c>
      <c r="CK81" s="87">
        <f>R36</f>
        <v>0</v>
      </c>
      <c r="CL81" s="49">
        <f>DE80</f>
        <v>1939.0235180274553</v>
      </c>
      <c r="CM81" s="42">
        <f>IF($BR$5="S",DW81,IF($BR$5="F",ED81))</f>
        <v>8.3500181462286776</v>
      </c>
      <c r="CN81" s="43">
        <f>CZ80</f>
        <v>887.71608769675572</v>
      </c>
      <c r="CO81" s="6">
        <f>IF($BR$8="",0,IF($BR$8="C",CK81*$BR$7,IF($BR$8=4,DM81,IF($BR$8=5,DN81,IF($BR$8=7,DO81,IF($BR$8=10,DP81,IF($BR$8=14,DQ81,"")))))))</f>
        <v>0</v>
      </c>
      <c r="CP81" s="65">
        <f>CN81*CO81*CP$54</f>
        <v>0</v>
      </c>
      <c r="CQ81" s="69" t="str">
        <f>IF(CO80&gt;0,CN81*CO80*CQ$54,"")</f>
        <v/>
      </c>
      <c r="CR81" s="69" t="str">
        <f>IF(CO79&gt;0,CN81*CO79*CR$54,"")</f>
        <v/>
      </c>
      <c r="CS81" s="69" t="str">
        <f>IF(CO78&gt;0,CN78*CO78*CS$54,"")</f>
        <v/>
      </c>
      <c r="CT81" s="69" t="str">
        <f>IF(CO77&gt;0,CN77*CO77*CT$54,"")</f>
        <v/>
      </c>
      <c r="CU81" s="46">
        <f>CN81-SUM(CP81:CT81)</f>
        <v>887.71608769675572</v>
      </c>
      <c r="CV81" s="47">
        <f>DB80</f>
        <v>1098.5551721975228</v>
      </c>
      <c r="CW81" s="47">
        <f>CU81/CM81</f>
        <v>106.31307287609867</v>
      </c>
      <c r="CX81" s="47">
        <f>CW69</f>
        <v>85.597729124665165</v>
      </c>
      <c r="CY81" s="47">
        <f>(CX81*$BS$41)-CX81</f>
        <v>34.239091649866054</v>
      </c>
      <c r="CZ81" s="49">
        <f>CU81-CW81+CX81+CY81</f>
        <v>901.23983559518831</v>
      </c>
      <c r="DA81" s="49">
        <f>CZ81-CN81</f>
        <v>13.523747898432589</v>
      </c>
      <c r="DB81" s="47">
        <f>IF(DB80&lt;2,0,CV81-CX81+CW81)</f>
        <v>1119.2705159489562</v>
      </c>
      <c r="DC81" s="49">
        <f>DB81-CV81</f>
        <v>20.715343751433466</v>
      </c>
      <c r="DD81" s="50">
        <f>(CN81+CX81*12)*0.025</f>
        <v>47.87222092981844</v>
      </c>
      <c r="DE81" s="49">
        <f>CZ81+DB81-DD81</f>
        <v>1972.6381306143262</v>
      </c>
      <c r="DF81" s="50"/>
      <c r="DG81" s="51" t="e">
        <f>IF(CO80&gt;0,CP80+CQ81+CL80*0.025,NA())</f>
        <v>#N/A</v>
      </c>
      <c r="DH81" s="52"/>
      <c r="DI81" s="53" t="str">
        <f>IF(CO79&gt;0,SUM(CP79:CR81)/CL79,"")</f>
        <v/>
      </c>
      <c r="DJ81" s="54">
        <f>(CL81-CL80)/CL80</f>
        <v>1.7488854501286063E-2</v>
      </c>
      <c r="DK81" s="41"/>
      <c r="DL81" s="55">
        <v>27</v>
      </c>
      <c r="DM81" s="6"/>
      <c r="DN81" s="6">
        <f>$BR$7</f>
        <v>0.95</v>
      </c>
      <c r="DO81" s="6">
        <f>$BR$7</f>
        <v>0.95</v>
      </c>
      <c r="DP81" s="6"/>
      <c r="DQ81" s="6">
        <f>$BR$7</f>
        <v>0.95</v>
      </c>
      <c r="DR81" s="21" t="e">
        <f>IF(CO81=0,NA(),1)</f>
        <v>#N/A</v>
      </c>
      <c r="DS81" s="57">
        <v>5</v>
      </c>
      <c r="DT81" s="58">
        <f>DS81*4500</f>
        <v>22500</v>
      </c>
      <c r="DU81" s="57">
        <v>20</v>
      </c>
      <c r="DV81" s="57">
        <f>DU81*1800</f>
        <v>36000</v>
      </c>
      <c r="DW81" s="59">
        <f>5*LN(DV81/DT81)+6</f>
        <v>8.3500181462286776</v>
      </c>
      <c r="DX81" s="60">
        <f>DX80-0.1</f>
        <v>2.300000000000002</v>
      </c>
      <c r="DY81" s="61">
        <f>DX81*4500</f>
        <v>10350.000000000009</v>
      </c>
      <c r="DZ81" s="68">
        <f>DZ80-0.21</f>
        <v>14.329999999999977</v>
      </c>
      <c r="EA81" s="68">
        <f>EA80+5</f>
        <v>1935</v>
      </c>
      <c r="EB81" s="61">
        <f>DZ81*EA81</f>
        <v>27728.549999999956</v>
      </c>
      <c r="EC81" s="61">
        <f>IF(DY81=0,NA(),EB81/DY81)</f>
        <v>2.6790869565217323</v>
      </c>
      <c r="ED81" s="60">
        <f>5*LN(EB81/DY81)+7.6</f>
        <v>12.527380243052225</v>
      </c>
      <c r="EE81" s="63" t="s">
        <v>45</v>
      </c>
      <c r="EF81" s="60"/>
      <c r="EG81" s="86">
        <v>46295</v>
      </c>
    </row>
    <row r="82" spans="65:137" ht="15">
      <c r="BM82" t="str">
        <f t="shared" si="1"/>
        <v/>
      </c>
      <c r="CI82" s="19">
        <v>46296</v>
      </c>
      <c r="CJ82" s="49">
        <v>16</v>
      </c>
      <c r="CK82" s="87">
        <f>S36</f>
        <v>0</v>
      </c>
      <c r="CL82" s="49">
        <f>DE81</f>
        <v>1972.6381306143262</v>
      </c>
      <c r="CM82" s="42">
        <f>IF($BR$5="S",DW82,IF($BR$5="F",ED82))</f>
        <v>8.3500181462286776</v>
      </c>
      <c r="CN82" s="43">
        <f>CZ81</f>
        <v>901.23983559518831</v>
      </c>
      <c r="CO82" s="6">
        <f>IF($BR$8="",0,IF($BR$8="C",CK82*$BR$7,IF($BR$8=4,DM82,IF($BR$8=5,DN82,IF($BR$8=7,DO82,IF($BR$8=10,DP82,IF($BR$8=14,DQ82,"")))))))</f>
        <v>0</v>
      </c>
      <c r="CP82" s="65">
        <f>CN82*CO82*CP$54</f>
        <v>0</v>
      </c>
      <c r="CQ82" s="69" t="str">
        <f>IF(CO81&gt;0,CN82*CO81*CQ$54,"")</f>
        <v/>
      </c>
      <c r="CR82" s="69" t="str">
        <f>IF(CO80&gt;0,CN82*CO80*CR$54,"")</f>
        <v/>
      </c>
      <c r="CS82" s="69" t="str">
        <f>IF(CO79&gt;0,CN79*CO79*CS$54,"")</f>
        <v/>
      </c>
      <c r="CT82" s="69" t="str">
        <f>IF(CO78&gt;0,CN78*CO78*CT$54,"")</f>
        <v/>
      </c>
      <c r="CU82" s="46">
        <f>CN82-SUM(CP82:CT82)</f>
        <v>901.23983559518831</v>
      </c>
      <c r="CV82" s="47">
        <f>DB81</f>
        <v>1119.2705159489562</v>
      </c>
      <c r="CW82" s="47">
        <f>CU82/CM82</f>
        <v>107.93267988312543</v>
      </c>
      <c r="CX82" s="47">
        <f>CW70</f>
        <v>86.794356589381167</v>
      </c>
      <c r="CY82" s="47">
        <f>(CX82*$BS$41)-CX82</f>
        <v>34.717742635752458</v>
      </c>
      <c r="CZ82" s="49">
        <f>CU82-CW82+CX82+CY82</f>
        <v>914.81925493719655</v>
      </c>
      <c r="DA82" s="49">
        <f>CZ82-CN82</f>
        <v>13.579419342008237</v>
      </c>
      <c r="DB82" s="47">
        <f>IF(DB81&lt;2,0,CV82-CX82+CW82)</f>
        <v>1140.4088392427007</v>
      </c>
      <c r="DC82" s="49">
        <f>DB82-CV82</f>
        <v>21.138323293744406</v>
      </c>
      <c r="DD82" s="50">
        <f>(CN82+CX82*12)*0.025</f>
        <v>48.569302866694059</v>
      </c>
      <c r="DE82" s="49">
        <f>CZ82+DB82-DD82</f>
        <v>2006.6587913132032</v>
      </c>
      <c r="DF82" s="50">
        <f t="shared" ref="DF82" si="2">DD82</f>
        <v>48.569302866694059</v>
      </c>
      <c r="DG82" s="51" t="e">
        <f>IF(CO81&gt;0,CP81+CQ82+CL81*0.025,NA())</f>
        <v>#N/A</v>
      </c>
      <c r="DH82" s="52"/>
      <c r="DI82" s="53" t="str">
        <f>IF(CO80&gt;0,SUM(CP80:CR82)/CL80,"")</f>
        <v/>
      </c>
      <c r="DJ82" s="54">
        <f>(CL82-CL81)/CL81</f>
        <v>1.733584573593341E-2</v>
      </c>
      <c r="DK82" s="70"/>
      <c r="DL82" s="55">
        <v>28</v>
      </c>
      <c r="DM82" s="6"/>
      <c r="DN82" s="6"/>
      <c r="DO82" s="6"/>
      <c r="DP82" s="88"/>
      <c r="DQ82" s="6"/>
      <c r="DR82" s="21" t="e">
        <f>IF(CO82=0,NA(),1)</f>
        <v>#N/A</v>
      </c>
      <c r="DS82" s="57">
        <v>5</v>
      </c>
      <c r="DT82" s="58">
        <f>DS82*4500</f>
        <v>22500</v>
      </c>
      <c r="DU82" s="57">
        <v>20</v>
      </c>
      <c r="DV82" s="57">
        <f>DU82*1800</f>
        <v>36000</v>
      </c>
      <c r="DW82" s="59">
        <f>5*LN(DV82/DT82)+6</f>
        <v>8.3500181462286776</v>
      </c>
      <c r="DX82" s="60">
        <f>DX81-0.1</f>
        <v>2.200000000000002</v>
      </c>
      <c r="DY82" s="61">
        <f>DX82*4500</f>
        <v>9900.0000000000091</v>
      </c>
      <c r="DZ82" s="68">
        <f>DZ81-0.21</f>
        <v>14.119999999999976</v>
      </c>
      <c r="EA82" s="68">
        <f>EA81+5</f>
        <v>1940</v>
      </c>
      <c r="EB82" s="61">
        <f>DZ82*EA82</f>
        <v>27392.799999999952</v>
      </c>
      <c r="EC82" s="61">
        <f>IF(DY82=0,NA(),EB82/DY82)</f>
        <v>2.7669494949494875</v>
      </c>
      <c r="ED82" s="60">
        <f>5*LN(EB82/DY82)+7.6</f>
        <v>12.688727239998929</v>
      </c>
      <c r="EE82" s="63" t="s">
        <v>45</v>
      </c>
      <c r="EF82" s="60"/>
      <c r="EG82" s="86">
        <v>46296</v>
      </c>
    </row>
    <row r="83" spans="65:137" ht="15">
      <c r="BM83" t="str">
        <f t="shared" si="1"/>
        <v/>
      </c>
      <c r="CI83" s="19">
        <v>46297</v>
      </c>
      <c r="CJ83" s="49">
        <v>17</v>
      </c>
      <c r="CK83" s="87">
        <f>T36</f>
        <v>0</v>
      </c>
      <c r="CL83" s="49">
        <f>DE82</f>
        <v>2006.6587913132032</v>
      </c>
      <c r="CM83" s="42">
        <f>IF($BR$5="S",DW83,IF($BR$5="F",ED83))</f>
        <v>8.3500181462286776</v>
      </c>
      <c r="CN83" s="43">
        <f>CZ82</f>
        <v>914.81925493719655</v>
      </c>
      <c r="CO83" s="6">
        <f>IF($BR$8="",0,IF($BR$8="C",CK83*$BR$7,IF($BR$8=4,DM83,IF($BR$8=5,DN83,IF($BR$8=7,DO83,IF($BR$8=10,DP83,IF($BR$8=14,DQ83,"")))))))</f>
        <v>0</v>
      </c>
      <c r="CP83" s="65">
        <f>CN83*CO83*CP$54</f>
        <v>0</v>
      </c>
      <c r="CQ83" s="69" t="str">
        <f>IF(CO82&gt;0,CN83*CO82*CQ$54,"")</f>
        <v/>
      </c>
      <c r="CR83" s="69" t="str">
        <f>IF(CO81&gt;0,CN83*CO81*CR$54,"")</f>
        <v/>
      </c>
      <c r="CS83" s="69" t="str">
        <f>IF(CO80&gt;0,CN80*CO80*CS$54,"")</f>
        <v/>
      </c>
      <c r="CT83" s="69" t="str">
        <f>IF(CO79&gt;0,CN79*CO79*CT$54,"")</f>
        <v/>
      </c>
      <c r="CU83" s="46">
        <f>CN83-SUM(CP83:CT83)</f>
        <v>914.81925493719655</v>
      </c>
      <c r="CV83" s="47">
        <f>DB82</f>
        <v>1140.4088392427007</v>
      </c>
      <c r="CW83" s="47">
        <f>CU83/CM83</f>
        <v>109.55895411441455</v>
      </c>
      <c r="CX83" s="47">
        <f>CW71</f>
        <v>88.197486032664443</v>
      </c>
      <c r="CY83" s="47">
        <f>(CX83*$BS$41)-CX83</f>
        <v>35.278994413065774</v>
      </c>
      <c r="CZ83" s="49">
        <f>CU83-CW83+CX83+CY83</f>
        <v>928.73678126851223</v>
      </c>
      <c r="DA83" s="49">
        <f>CZ83-CN83</f>
        <v>13.917526331315685</v>
      </c>
      <c r="DB83" s="47">
        <f>IF(DB82&lt;2,0,CV83-CX83+CW83)</f>
        <v>1161.7703073244506</v>
      </c>
      <c r="DC83" s="49">
        <f>DB83-CV83</f>
        <v>21.36146808174999</v>
      </c>
      <c r="DD83" s="50">
        <f>(CN83+CX83*12)*0.025</f>
        <v>49.329727183229252</v>
      </c>
      <c r="DE83" s="49">
        <f>CZ83+DB83-DD83</f>
        <v>2041.1773614097333</v>
      </c>
      <c r="DF83" s="50"/>
      <c r="DG83" s="51" t="e">
        <f>IF(CO82&gt;0,CP82+CQ83+CL82*0.025,NA())</f>
        <v>#N/A</v>
      </c>
      <c r="DH83" s="52"/>
      <c r="DI83" s="53" t="str">
        <f>IF(CO81&gt;0,SUM(CP81:CR83)/CL81,"")</f>
        <v/>
      </c>
      <c r="DJ83" s="54">
        <f>(CL83-CL82)/CL82</f>
        <v>1.7246275518501799E-2</v>
      </c>
      <c r="DK83" s="70"/>
      <c r="DL83" s="55">
        <v>29</v>
      </c>
      <c r="DM83" s="6">
        <f>$BR$7</f>
        <v>0.95</v>
      </c>
      <c r="DN83" s="6"/>
      <c r="DO83" s="6"/>
      <c r="DP83" s="6"/>
      <c r="DQ83" s="6"/>
      <c r="DR83" s="21" t="e">
        <f>IF(CO83=0,NA(),1)</f>
        <v>#N/A</v>
      </c>
      <c r="DS83" s="57">
        <v>5</v>
      </c>
      <c r="DT83" s="58">
        <f>DS83*4500</f>
        <v>22500</v>
      </c>
      <c r="DU83" s="57">
        <v>20</v>
      </c>
      <c r="DV83" s="57">
        <f>DU83*1800</f>
        <v>36000</v>
      </c>
      <c r="DW83" s="59">
        <f>5*LN(DV83/DT83)+6</f>
        <v>8.3500181462286776</v>
      </c>
      <c r="DX83" s="60">
        <f>DX82-0.1</f>
        <v>2.1000000000000019</v>
      </c>
      <c r="DY83" s="61">
        <f>DX83*4500</f>
        <v>9450.0000000000091</v>
      </c>
      <c r="DZ83" s="68">
        <f>DZ82-0.21</f>
        <v>13.909999999999975</v>
      </c>
      <c r="EA83" s="68">
        <f>EA82+5</f>
        <v>1945</v>
      </c>
      <c r="EB83" s="61">
        <f>DZ83*EA83</f>
        <v>27054.949999999953</v>
      </c>
      <c r="EC83" s="61">
        <f>IF(DY83=0,NA(),EB83/DY83)</f>
        <v>2.8629576719576644</v>
      </c>
      <c r="ED83" s="60">
        <f>5*LN(EB83/DY83)+7.6</f>
        <v>12.859276207500535</v>
      </c>
      <c r="EE83" s="63" t="s">
        <v>45</v>
      </c>
      <c r="EF83" s="60"/>
      <c r="EG83" s="86">
        <v>46297</v>
      </c>
    </row>
    <row r="84" spans="65:137" ht="15">
      <c r="BM84" t="str">
        <f t="shared" si="1"/>
        <v/>
      </c>
      <c r="CI84" s="19">
        <v>46298</v>
      </c>
      <c r="CJ84" s="49">
        <v>18</v>
      </c>
      <c r="CK84" s="87">
        <f>U36</f>
        <v>0</v>
      </c>
      <c r="CL84" s="49">
        <f>DE83</f>
        <v>2041.1773614097333</v>
      </c>
      <c r="CM84" s="42">
        <f>IF($BR$5="S",DW84,IF($BR$5="F",ED84))</f>
        <v>8.3500181462286776</v>
      </c>
      <c r="CN84" s="43">
        <f>CZ83</f>
        <v>928.73678126851223</v>
      </c>
      <c r="CO84" s="6">
        <f>IF($BR$8="",0,IF($BR$8="C",CK84*$BR$7,IF($BR$8=4,DM84,IF($BR$8=5,DN84,IF($BR$8=7,DO84,IF($BR$8=10,DP84,IF($BR$8=14,DQ84,"")))))))</f>
        <v>0</v>
      </c>
      <c r="CP84" s="65">
        <f>CN84*CO84*CP$54</f>
        <v>0</v>
      </c>
      <c r="CQ84" s="69" t="str">
        <f>IF(CO83&gt;0,CN84*CO83*CQ$54,"")</f>
        <v/>
      </c>
      <c r="CR84" s="69" t="str">
        <f>IF(CO82&gt;0,CN84*CO82*CR$54,"")</f>
        <v/>
      </c>
      <c r="CS84" s="69" t="str">
        <f>IF(CO81&gt;0,CN81*CO81*CS$54,"")</f>
        <v/>
      </c>
      <c r="CT84" s="69" t="str">
        <f>IF(CO80&gt;0,CN80*CO80*CT$54,"")</f>
        <v/>
      </c>
      <c r="CU84" s="46">
        <f>CN84-SUM(CP84:CT84)</f>
        <v>928.73678126851223</v>
      </c>
      <c r="CV84" s="47">
        <f>DB83</f>
        <v>1161.7703073244506</v>
      </c>
      <c r="CW84" s="47">
        <f>CU84/CM84</f>
        <v>111.2257201127138</v>
      </c>
      <c r="CX84" s="47">
        <f>CW72</f>
        <v>89.757042328512057</v>
      </c>
      <c r="CY84" s="47">
        <f>(CX84*$BS$41)-CX84</f>
        <v>35.902816931404814</v>
      </c>
      <c r="CZ84" s="49">
        <f>CU84-CW84+CX84+CY84</f>
        <v>943.17092041571527</v>
      </c>
      <c r="DA84" s="49">
        <f>CZ84-CN84</f>
        <v>14.434139147203041</v>
      </c>
      <c r="DB84" s="47">
        <f>IF(DB83&lt;2,0,CV84-CX84+CW84)</f>
        <v>1183.2389851086525</v>
      </c>
      <c r="DC84" s="49">
        <f>DB84-CV84</f>
        <v>21.468677784201873</v>
      </c>
      <c r="DD84" s="50">
        <f>(CN84+CX84*12)*0.025</f>
        <v>50.145532230266426</v>
      </c>
      <c r="DE84" s="49">
        <f>CZ84+DB84-DD84</f>
        <v>2076.2643732941015</v>
      </c>
      <c r="DF84" s="50">
        <f t="shared" ref="DF84" si="3">DD84</f>
        <v>50.145532230266426</v>
      </c>
      <c r="DG84" s="51" t="e">
        <f>IF(CO83&gt;0,CP83+CQ84+CL83*0.025,NA())</f>
        <v>#N/A</v>
      </c>
      <c r="DH84" s="52">
        <f>IF($BR$5="F",315*CZ84/EB84,315*CZ84/DV84)</f>
        <v>8.2527455536375083</v>
      </c>
      <c r="DI84" s="53" t="str">
        <f>IF(CO82&gt;0,SUM(CP82:CR84)/CL82,"")</f>
        <v/>
      </c>
      <c r="DJ84" s="54">
        <f>(CL84-CL83)/CL83</f>
        <v>1.7202012741757828E-2</v>
      </c>
      <c r="DK84" s="41">
        <f>CL84</f>
        <v>2041.1773614097333</v>
      </c>
      <c r="DL84" s="55">
        <v>30</v>
      </c>
      <c r="DM84" s="6"/>
      <c r="DN84" s="6"/>
      <c r="DO84" s="6"/>
      <c r="DP84" s="6"/>
      <c r="DQ84" s="6"/>
      <c r="DR84" s="21" t="e">
        <f>IF(CO84=0,NA(),1)</f>
        <v>#N/A</v>
      </c>
      <c r="DS84" s="57">
        <v>5</v>
      </c>
      <c r="DT84" s="58">
        <f>DS84*4500</f>
        <v>22500</v>
      </c>
      <c r="DU84" s="57">
        <v>20</v>
      </c>
      <c r="DV84" s="57">
        <f>DU84*1800</f>
        <v>36000</v>
      </c>
      <c r="DW84" s="59">
        <f>5*LN(DV84/DT84)+6</f>
        <v>8.3500181462286776</v>
      </c>
      <c r="DX84" s="60">
        <f>DX83-0.1</f>
        <v>2.0000000000000018</v>
      </c>
      <c r="DY84" s="61">
        <f>DX84*4500</f>
        <v>9000.0000000000073</v>
      </c>
      <c r="DZ84" s="68">
        <f>DZ83-0.21</f>
        <v>13.699999999999974</v>
      </c>
      <c r="EA84" s="68">
        <f>EA83+5</f>
        <v>1950</v>
      </c>
      <c r="EB84" s="61">
        <f>DZ84*EA84</f>
        <v>26714.999999999949</v>
      </c>
      <c r="EC84" s="61">
        <f>IF(DY84=0,NA(),EB84/DY84)</f>
        <v>2.9683333333333253</v>
      </c>
      <c r="ED84" s="60">
        <f>5*LN(EB84/DY84)+7.6</f>
        <v>13.040003140367563</v>
      </c>
      <c r="EE84" s="63" t="s">
        <v>45</v>
      </c>
      <c r="EF84" s="60"/>
      <c r="EG84" s="86">
        <v>46298</v>
      </c>
    </row>
    <row r="85" spans="65:137" ht="15">
      <c r="BM85" t="str">
        <f t="shared" si="1"/>
        <v/>
      </c>
      <c r="CI85" s="19">
        <v>46299</v>
      </c>
      <c r="CJ85" s="49">
        <v>19</v>
      </c>
      <c r="CK85" s="87">
        <f>V36</f>
        <v>1</v>
      </c>
      <c r="CL85" s="49">
        <f>DE84</f>
        <v>2076.2643732941015</v>
      </c>
      <c r="CM85" s="42">
        <f>IF($BR$5="S",DW85,IF($BR$5="F",ED85))</f>
        <v>8.3500181462286776</v>
      </c>
      <c r="CN85" s="43">
        <f>CZ84</f>
        <v>943.17092041571527</v>
      </c>
      <c r="CO85" s="6">
        <f>IF($BR$8="",0,IF($BR$8="C",CK85*$BR$7,IF($BR$8=4,DM85,IF($BR$8=5,DN85,IF($BR$8=7,DO85,IF($BR$8=10,DP85,IF($BR$8=14,DQ85,"")))))))</f>
        <v>0</v>
      </c>
      <c r="CP85" s="65">
        <f>CN85*CO85*CP$54</f>
        <v>0</v>
      </c>
      <c r="CQ85" s="69" t="str">
        <f>IF(CO84&gt;0,CN85*CO84*CQ$54,"")</f>
        <v/>
      </c>
      <c r="CR85" s="69" t="str">
        <f>IF(CO83&gt;0,CN85*CO83*CR$54,"")</f>
        <v/>
      </c>
      <c r="CS85" s="69" t="str">
        <f>IF(CO82&gt;0,CN82*CO82*CS$54,"")</f>
        <v/>
      </c>
      <c r="CT85" s="69" t="str">
        <f>IF(CO81&gt;0,CN81*CO81*CT$54,"")</f>
        <v/>
      </c>
      <c r="CU85" s="46">
        <f>CN85-SUM(CP85:CT85)</f>
        <v>943.17092041571527</v>
      </c>
      <c r="CV85" s="47">
        <f>DB84</f>
        <v>1183.2389851086525</v>
      </c>
      <c r="CW85" s="47">
        <f>CU85/CM85</f>
        <v>112.95435577486769</v>
      </c>
      <c r="CX85" s="47">
        <f>CW73</f>
        <v>91.435491089425412</v>
      </c>
      <c r="CY85" s="47">
        <f>(CX85*$BS$41)-CX85</f>
        <v>36.574196435770162</v>
      </c>
      <c r="CZ85" s="49">
        <f>CU85-CW85+CX85+CY85</f>
        <v>958.2262521660432</v>
      </c>
      <c r="DA85" s="49">
        <f>CZ85-CN85</f>
        <v>15.055331750327923</v>
      </c>
      <c r="DB85" s="47">
        <f>IF(DB84&lt;2,0,CV85-CX85+CW85)</f>
        <v>1204.7578497940949</v>
      </c>
      <c r="DC85" s="49">
        <f>DB85-CV85</f>
        <v>21.518864685442395</v>
      </c>
      <c r="DD85" s="50">
        <f>(CN85+CX85*12)*0.025</f>
        <v>51.009920337220507</v>
      </c>
      <c r="DE85" s="49">
        <f>CZ85+DB85-DD85</f>
        <v>2111.9741816229175</v>
      </c>
      <c r="DF85" s="50"/>
      <c r="DG85" s="51" t="e">
        <f>IF(CO84&gt;0,CP84+CQ85+CL84*0.025,NA())</f>
        <v>#N/A</v>
      </c>
      <c r="DH85" s="52"/>
      <c r="DI85" s="53" t="str">
        <f>IF(CO83&gt;0,SUM(CP83:CR85)/CL83,"")</f>
        <v/>
      </c>
      <c r="DJ85" s="54">
        <f>(CL85-CL84)/CL84</f>
        <v>1.7189594862121842E-2</v>
      </c>
      <c r="DK85" s="70"/>
      <c r="DL85" s="55">
        <v>31</v>
      </c>
      <c r="DM85" s="6"/>
      <c r="DN85" s="6"/>
      <c r="DO85" s="6"/>
      <c r="DP85" s="6">
        <f>$BR$7</f>
        <v>0.95</v>
      </c>
      <c r="DQ85" s="88"/>
      <c r="DR85" s="21" t="e">
        <f>IF(CO85=0,NA(),1)</f>
        <v>#N/A</v>
      </c>
      <c r="DS85" s="57">
        <v>5</v>
      </c>
      <c r="DT85" s="58">
        <f>DS85*4500</f>
        <v>22500</v>
      </c>
      <c r="DU85" s="57">
        <v>20</v>
      </c>
      <c r="DV85" s="57">
        <f>DU85*1800</f>
        <v>36000</v>
      </c>
      <c r="DW85" s="59">
        <f>5*LN(DV85/DT85)+6</f>
        <v>8.3500181462286776</v>
      </c>
      <c r="DX85" s="60">
        <f>DX84-0.1</f>
        <v>1.9000000000000017</v>
      </c>
      <c r="DY85" s="61">
        <f>DX85*4500</f>
        <v>8550.0000000000073</v>
      </c>
      <c r="DZ85" s="68">
        <f>DZ84-0.21</f>
        <v>13.489999999999974</v>
      </c>
      <c r="EA85" s="68">
        <f>EA84+5</f>
        <v>1955</v>
      </c>
      <c r="EB85" s="61">
        <f>DZ85*EA85</f>
        <v>26372.94999999995</v>
      </c>
      <c r="EC85" s="61">
        <f>IF(DY85=0,NA(),EB85/DY85)</f>
        <v>3.0845555555555473</v>
      </c>
      <c r="ED85" s="60">
        <f>5*LN(EB85/DY85)+7.6</f>
        <v>13.23203790354161</v>
      </c>
      <c r="EE85" s="63" t="s">
        <v>45</v>
      </c>
      <c r="EF85" s="60"/>
      <c r="EG85" s="86">
        <v>46299</v>
      </c>
    </row>
    <row r="86" spans="65:137" ht="15">
      <c r="BM86" t="str">
        <f t="shared" si="1"/>
        <v/>
      </c>
      <c r="CI86" s="19">
        <v>46300</v>
      </c>
      <c r="CJ86" s="49">
        <v>20</v>
      </c>
      <c r="CK86" s="87">
        <f>W36</f>
        <v>0</v>
      </c>
      <c r="CL86" s="49">
        <f>DE85</f>
        <v>2111.9741816229175</v>
      </c>
      <c r="CM86" s="42">
        <f t="shared" ref="CM86:CM117" si="4">IF($BR$5="S",DW86,IF($BR$5="F",ED86))</f>
        <v>8.3500181462286776</v>
      </c>
      <c r="CN86" s="43">
        <f>CZ85</f>
        <v>958.2262521660432</v>
      </c>
      <c r="CO86" s="6">
        <f>IF($BR$8="",0,IF($BR$8="C",CK86*$BR$7,IF($BR$8=4,DM86,IF($BR$8=5,DN86,IF($BR$8=7,DO86,IF($BR$8=10,DP86,IF($BR$8=14,DQ86,"")))))))</f>
        <v>0</v>
      </c>
      <c r="CP86" s="65">
        <f>CN86*CO86*CP$54</f>
        <v>0</v>
      </c>
      <c r="CQ86" s="69" t="str">
        <f>IF(CO85&gt;0,CN86*CO85*CQ$54,"")</f>
        <v/>
      </c>
      <c r="CR86" s="69" t="str">
        <f>IF(CO84&gt;0,CN86*CO84*CR$54,"")</f>
        <v/>
      </c>
      <c r="CS86" s="69" t="str">
        <f>IF(CO83&gt;0,CN83*CO83*CS$54,"")</f>
        <v/>
      </c>
      <c r="CT86" s="69" t="str">
        <f>IF(CO82&gt;0,CN82*CO82*CT$54,"")</f>
        <v/>
      </c>
      <c r="CU86" s="46">
        <f>CN86-SUM(CP86:CT86)</f>
        <v>958.2262521660432</v>
      </c>
      <c r="CV86" s="47">
        <f>DB85</f>
        <v>1204.7578497940949</v>
      </c>
      <c r="CW86" s="47">
        <f>CU86/CM86</f>
        <v>114.75738559907565</v>
      </c>
      <c r="CX86" s="47">
        <f>CW74</f>
        <v>93.204906620315313</v>
      </c>
      <c r="CY86" s="47">
        <f>(CX86*$BS$41)-CX86</f>
        <v>37.281962648126125</v>
      </c>
      <c r="CZ86" s="49">
        <f>CU86-CW86+CX86+CY86</f>
        <v>973.95573583540909</v>
      </c>
      <c r="DA86" s="49">
        <f>CZ86-CN86</f>
        <v>15.729483669365891</v>
      </c>
      <c r="DB86" s="47">
        <f>IF(DB85&lt;2,0,CV86-CX86+CW86)</f>
        <v>1226.3103287728552</v>
      </c>
      <c r="DC86" s="49">
        <f>DB86-CV86</f>
        <v>21.552478978760291</v>
      </c>
      <c r="DD86" s="50">
        <f>(CN86+CX86*12)*0.025</f>
        <v>51.917128290245671</v>
      </c>
      <c r="DE86" s="49">
        <f>CZ86+DB86-DD86</f>
        <v>2148.3489363180183</v>
      </c>
      <c r="DF86" s="50">
        <f t="shared" ref="DF86" si="5">DD86</f>
        <v>51.917128290245671</v>
      </c>
      <c r="DG86" s="51" t="e">
        <f>IF(CO85&gt;0,CP85+CQ86+CL85*0.025,NA())</f>
        <v>#N/A</v>
      </c>
      <c r="DH86" s="52"/>
      <c r="DI86" s="53" t="str">
        <f>IF(CO84&gt;0,SUM(CP84:CR86)/CL84,"")</f>
        <v/>
      </c>
      <c r="DJ86" s="54">
        <f>(CL86-CL85)/CL85</f>
        <v>1.7199066163313577E-2</v>
      </c>
      <c r="DK86" s="70"/>
      <c r="DL86" s="55">
        <v>32</v>
      </c>
      <c r="DM86" s="6"/>
      <c r="DN86" s="6">
        <f>$BR$7</f>
        <v>0.95</v>
      </c>
      <c r="DO86" s="88"/>
      <c r="DP86" s="6"/>
      <c r="DQ86" s="6"/>
      <c r="DR86" s="21" t="e">
        <f>IF(CO86=0,NA(),1)</f>
        <v>#N/A</v>
      </c>
      <c r="DS86" s="57">
        <v>5</v>
      </c>
      <c r="DT86" s="58">
        <f>DS86*4500</f>
        <v>22500</v>
      </c>
      <c r="DU86" s="57">
        <v>20</v>
      </c>
      <c r="DV86" s="57">
        <f>DU86*1800</f>
        <v>36000</v>
      </c>
      <c r="DW86" s="59">
        <f>5*LN(DV86/DT86)+6</f>
        <v>8.3500181462286776</v>
      </c>
      <c r="DX86" s="60">
        <f>DX85-0.1</f>
        <v>1.8000000000000016</v>
      </c>
      <c r="DY86" s="61">
        <f>DX86*4500</f>
        <v>8100.0000000000073</v>
      </c>
      <c r="DZ86" s="68">
        <f>DZ85-0.21</f>
        <v>13.279999999999973</v>
      </c>
      <c r="EA86" s="68">
        <f>EA85+5</f>
        <v>1960</v>
      </c>
      <c r="EB86" s="61">
        <f>DZ86*EA86</f>
        <v>26028.799999999945</v>
      </c>
      <c r="EC86" s="61">
        <f>IF(DY86=0,NA(),EB86/DY86)</f>
        <v>3.2134320987654226</v>
      </c>
      <c r="ED86" s="60">
        <f>5*LN(EB86/DY86)+7.6</f>
        <v>13.436697778061587</v>
      </c>
      <c r="EE86" s="63" t="s">
        <v>45</v>
      </c>
      <c r="EF86" s="60"/>
      <c r="EG86" s="86">
        <v>46300</v>
      </c>
    </row>
    <row r="87" spans="65:137" ht="15">
      <c r="BM87" t="str">
        <f t="shared" si="1"/>
        <v/>
      </c>
      <c r="CI87" s="19">
        <v>46301</v>
      </c>
      <c r="CJ87" s="49">
        <v>21</v>
      </c>
      <c r="CK87" s="87">
        <f>X36</f>
        <v>0</v>
      </c>
      <c r="CL87" s="49">
        <f>DE86</f>
        <v>2148.3489363180183</v>
      </c>
      <c r="CM87" s="42">
        <f t="shared" si="4"/>
        <v>8.3500181462286776</v>
      </c>
      <c r="CN87" s="43">
        <f>CZ86</f>
        <v>973.95573583540909</v>
      </c>
      <c r="CO87" s="6">
        <f>IF($BR$8="",0,IF($BR$8="C",CK87*$BR$7,IF($BR$8=4,DM87,IF($BR$8=5,DN87,IF($BR$8=7,DO87,IF($BR$8=10,DP87,IF($BR$8=14,DQ87,"")))))))</f>
        <v>0</v>
      </c>
      <c r="CP87" s="65">
        <f>CN87*CO87*CP$54</f>
        <v>0</v>
      </c>
      <c r="CQ87" s="69" t="str">
        <f>IF(CO86&gt;0,CN87*CO86*CQ$54,"")</f>
        <v/>
      </c>
      <c r="CR87" s="69" t="str">
        <f>IF(CO85&gt;0,CN87*CO85*CR$54,"")</f>
        <v/>
      </c>
      <c r="CS87" s="69" t="str">
        <f>IF(CO84&gt;0,CN84*CO84*CS$54,"")</f>
        <v/>
      </c>
      <c r="CT87" s="69" t="str">
        <f>IF(CO83&gt;0,CN83*CO83*CT$54,"")</f>
        <v/>
      </c>
      <c r="CU87" s="46">
        <f>CN87-SUM(CP87:CT87)</f>
        <v>973.95573583540909</v>
      </c>
      <c r="CV87" s="47">
        <f>DB86</f>
        <v>1226.3103287728552</v>
      </c>
      <c r="CW87" s="47">
        <f>CU87/CM87</f>
        <v>116.6411520045978</v>
      </c>
      <c r="CX87" s="47">
        <f>CW75</f>
        <v>95.044707594698494</v>
      </c>
      <c r="CY87" s="47">
        <f>(CX87*$BS$41)-CX87</f>
        <v>38.0178830378794</v>
      </c>
      <c r="CZ87" s="49">
        <f>CU87-CW87+CX87+CY87</f>
        <v>990.37717446338922</v>
      </c>
      <c r="DA87" s="49">
        <f>CZ87-CN87</f>
        <v>16.421438627980137</v>
      </c>
      <c r="DB87" s="47">
        <f>IF(DB86&lt;2,0,CV87-CX87+CW87)</f>
        <v>1247.9067731827545</v>
      </c>
      <c r="DC87" s="49">
        <f>DB87-CV87</f>
        <v>21.596444409899277</v>
      </c>
      <c r="DD87" s="50">
        <f>(CN87+CX87*12)*0.025</f>
        <v>52.862305674294774</v>
      </c>
      <c r="DE87" s="49">
        <f>CZ87+DB87-DD87</f>
        <v>2185.4216419718487</v>
      </c>
      <c r="DF87" s="50"/>
      <c r="DG87" s="51" t="e">
        <f>IF(CO86&gt;0,CP86+CQ87+CL86*0.025,NA())</f>
        <v>#N/A</v>
      </c>
      <c r="DH87" s="52"/>
      <c r="DI87" s="53" t="str">
        <f>IF(CO85&gt;0,SUM(CP85:CR87)/CL85,"")</f>
        <v/>
      </c>
      <c r="DJ87" s="54">
        <f>(CL87-CL86)/CL86</f>
        <v>1.7223105761240479E-2</v>
      </c>
      <c r="DK87" s="41"/>
      <c r="DL87" s="55">
        <v>33</v>
      </c>
      <c r="DM87" s="6">
        <f>$BR$7</f>
        <v>0.95</v>
      </c>
      <c r="DN87" s="6"/>
      <c r="DO87" s="6"/>
      <c r="DP87" s="6"/>
      <c r="DQ87" s="88"/>
      <c r="DR87" s="21" t="e">
        <f>IF(CO87=0,NA(),1)</f>
        <v>#N/A</v>
      </c>
      <c r="DS87" s="57">
        <v>5</v>
      </c>
      <c r="DT87" s="58">
        <f>DS87*4500</f>
        <v>22500</v>
      </c>
      <c r="DU87" s="57">
        <v>20</v>
      </c>
      <c r="DV87" s="57">
        <f>DU87*1800</f>
        <v>36000</v>
      </c>
      <c r="DW87" s="59">
        <f>5*LN(DV87/DT87)+6</f>
        <v>8.3500181462286776</v>
      </c>
      <c r="DX87" s="60">
        <f>DX86-0.1</f>
        <v>1.7000000000000015</v>
      </c>
      <c r="DY87" s="61">
        <f>DX87*4500</f>
        <v>7650.0000000000064</v>
      </c>
      <c r="DZ87" s="68">
        <f>DZ86-0.21</f>
        <v>13.069999999999972</v>
      </c>
      <c r="EA87" s="68">
        <f>EA86+5</f>
        <v>1965</v>
      </c>
      <c r="EB87" s="61">
        <f>DZ87*EA87</f>
        <v>25682.549999999945</v>
      </c>
      <c r="EC87" s="61">
        <f>IF(DY87=0,NA(),EB87/DY87)</f>
        <v>3.3571960784313624</v>
      </c>
      <c r="ED87" s="60">
        <f>5*LN(EB87/DY87)+7.6</f>
        <v>13.655530625594539</v>
      </c>
      <c r="EE87" s="63" t="s">
        <v>45</v>
      </c>
      <c r="EF87" s="60"/>
      <c r="EG87" s="86">
        <v>46301</v>
      </c>
    </row>
    <row r="88" spans="65:137" ht="15">
      <c r="BM88" t="str">
        <f t="shared" si="1"/>
        <v/>
      </c>
      <c r="CI88" s="19">
        <v>46302</v>
      </c>
      <c r="CJ88" s="49">
        <v>22</v>
      </c>
      <c r="CK88" s="87">
        <f>Y36</f>
        <v>0</v>
      </c>
      <c r="CL88" s="49">
        <f>DE87</f>
        <v>2185.4216419718487</v>
      </c>
      <c r="CM88" s="42">
        <f t="shared" si="4"/>
        <v>8.3500181462286776</v>
      </c>
      <c r="CN88" s="43">
        <f>CZ87</f>
        <v>990.37717446338922</v>
      </c>
      <c r="CO88" s="6">
        <f>IF($BR$8="",0,IF($BR$8="C",CK88*$BR$7,IF($BR$8=4,DM88,IF($BR$8=5,DN88,IF($BR$8=7,DO88,IF($BR$8=10,DP88,IF($BR$8=14,DQ88,"")))))))</f>
        <v>0</v>
      </c>
      <c r="CP88" s="65">
        <f>CN88*CO88*CP$54</f>
        <v>0</v>
      </c>
      <c r="CQ88" s="69" t="str">
        <f>IF(CO87&gt;0,CN88*CO87*CQ$54,"")</f>
        <v/>
      </c>
      <c r="CR88" s="69" t="str">
        <f>IF(CO86&gt;0,CN88*CO86*CR$54,"")</f>
        <v/>
      </c>
      <c r="CS88" s="69" t="str">
        <f>IF(CO85&gt;0,CN85*CO85*CS$54,"")</f>
        <v/>
      </c>
      <c r="CT88" s="69" t="str">
        <f>IF(CO84&gt;0,CN84*CO84*CT$54,"")</f>
        <v/>
      </c>
      <c r="CU88" s="46">
        <f>CN88-SUM(CP88:CT88)</f>
        <v>990.37717446338922</v>
      </c>
      <c r="CV88" s="47">
        <f>DB87</f>
        <v>1247.9067731827545</v>
      </c>
      <c r="CW88" s="47">
        <f>CU88/CM88</f>
        <v>118.60778708734871</v>
      </c>
      <c r="CX88" s="47">
        <f>CW76</f>
        <v>96.939910482072889</v>
      </c>
      <c r="CY88" s="47">
        <f>(CX88*$BS$41)-CX88</f>
        <v>38.77596419282915</v>
      </c>
      <c r="CZ88" s="49">
        <f>CU88-CW88+CX88+CY88</f>
        <v>1007.4852620509425</v>
      </c>
      <c r="DA88" s="49">
        <f>CZ88-CN88</f>
        <v>17.108087587553314</v>
      </c>
      <c r="DB88" s="47">
        <f>IF(DB87&lt;2,0,CV88-CX88+CW88)</f>
        <v>1269.5746497880302</v>
      </c>
      <c r="DC88" s="49">
        <f>DB88-CV88</f>
        <v>21.667876605275751</v>
      </c>
      <c r="DD88" s="50">
        <f>(CN88+CX88*12)*0.025</f>
        <v>53.841402506206606</v>
      </c>
      <c r="DE88" s="49">
        <f>CZ88+DB88-DD88</f>
        <v>2223.2185093327662</v>
      </c>
      <c r="DF88" s="50">
        <f t="shared" ref="DF88" si="6">DD88</f>
        <v>53.841402506206606</v>
      </c>
      <c r="DG88" s="51" t="e">
        <f>IF(CO87&gt;0,CP87+CQ88+CL87*0.025,NA())</f>
        <v>#N/A</v>
      </c>
      <c r="DH88" s="52"/>
      <c r="DI88" s="53" t="str">
        <f>IF(CO86&gt;0,SUM(CP86:CR88)/CL86,"")</f>
        <v/>
      </c>
      <c r="DJ88" s="54">
        <f>(CL88-CL87)/CL87</f>
        <v>1.7256370707343271E-2</v>
      </c>
      <c r="DK88" s="70"/>
      <c r="DL88" s="55">
        <v>34</v>
      </c>
      <c r="DM88" s="6"/>
      <c r="DN88" s="6"/>
      <c r="DO88" s="6">
        <f>$BR$7</f>
        <v>0.95</v>
      </c>
      <c r="DP88" s="6"/>
      <c r="DQ88" s="6"/>
      <c r="DR88" s="21" t="e">
        <f>IF(CO88=0,NA(),1)</f>
        <v>#N/A</v>
      </c>
      <c r="DS88" s="57">
        <v>5</v>
      </c>
      <c r="DT88" s="58">
        <f>DS88*4500</f>
        <v>22500</v>
      </c>
      <c r="DU88" s="57">
        <v>20</v>
      </c>
      <c r="DV88" s="57">
        <f>DU88*1800</f>
        <v>36000</v>
      </c>
      <c r="DW88" s="59">
        <f>5*LN(DV88/DT88)+6</f>
        <v>8.3500181462286776</v>
      </c>
      <c r="DX88" s="60">
        <f>DX87-0.1</f>
        <v>1.6000000000000014</v>
      </c>
      <c r="DY88" s="61">
        <f>DX88*4500</f>
        <v>7200.0000000000064</v>
      </c>
      <c r="DZ88" s="68">
        <f>DZ87-0.21</f>
        <v>12.859999999999971</v>
      </c>
      <c r="EA88" s="68">
        <f>EA87+5</f>
        <v>1970</v>
      </c>
      <c r="EB88" s="61">
        <f>DZ88*EA88</f>
        <v>25334.199999999943</v>
      </c>
      <c r="EC88" s="61">
        <f>IF(DY88=0,NA(),EB88/DY88)</f>
        <v>3.5186388888888778</v>
      </c>
      <c r="ED88" s="60">
        <f>5*LN(EB88/DY88)+7.6</f>
        <v>13.890371177686788</v>
      </c>
      <c r="EE88" s="63" t="s">
        <v>45</v>
      </c>
      <c r="EF88" s="60"/>
      <c r="EG88" s="86">
        <v>46302</v>
      </c>
    </row>
    <row r="89" spans="65:137" ht="15">
      <c r="BM89" t="str">
        <f t="shared" si="1"/>
        <v/>
      </c>
      <c r="CI89" s="19">
        <v>46303</v>
      </c>
      <c r="CJ89" s="49">
        <v>23</v>
      </c>
      <c r="CK89" s="87">
        <f>Z36</f>
        <v>0</v>
      </c>
      <c r="CL89" s="49">
        <f>DE88</f>
        <v>2223.2185093327662</v>
      </c>
      <c r="CM89" s="42">
        <f t="shared" si="4"/>
        <v>8.3500181462286776</v>
      </c>
      <c r="CN89" s="43">
        <f>CZ88</f>
        <v>1007.4852620509425</v>
      </c>
      <c r="CO89" s="6">
        <f>IF($BR$8="",0,IF($BR$8="C",CK89*$BR$7,IF($BR$8=4,DM89,IF($BR$8=5,DN89,IF($BR$8=7,DO89,IF($BR$8=10,DP89,IF($BR$8=14,DQ89,"")))))))</f>
        <v>0</v>
      </c>
      <c r="CP89" s="65">
        <f>CN89*CO89*CP$54</f>
        <v>0</v>
      </c>
      <c r="CQ89" s="69" t="str">
        <f>IF(CO88&gt;0,CN89*CO88*CQ$54,"")</f>
        <v/>
      </c>
      <c r="CR89" s="69" t="str">
        <f>IF(CO87&gt;0,CN89*CO87*CR$54,"")</f>
        <v/>
      </c>
      <c r="CS89" s="69" t="str">
        <f>IF(CO86&gt;0,CN86*CO86*CS$54,"")</f>
        <v/>
      </c>
      <c r="CT89" s="69" t="str">
        <f>IF(CO85&gt;0,CN85*CO85*CT$54,"")</f>
        <v/>
      </c>
      <c r="CU89" s="46">
        <f>CN89-SUM(CP89:CT89)</f>
        <v>1007.4852620509425</v>
      </c>
      <c r="CV89" s="47">
        <f>DB88</f>
        <v>1269.5746497880302</v>
      </c>
      <c r="CW89" s="47">
        <f>CU89/CM89</f>
        <v>120.65665539972241</v>
      </c>
      <c r="CX89" s="47">
        <f>CW77</f>
        <v>98.879784197192365</v>
      </c>
      <c r="CY89" s="47">
        <f>(CX89*$BS$41)-CX89</f>
        <v>39.551913678876943</v>
      </c>
      <c r="CZ89" s="49">
        <f>CU89-CW89+CX89+CY89</f>
        <v>1025.2603045272895</v>
      </c>
      <c r="DA89" s="49">
        <f>CZ89-CN89</f>
        <v>17.775042476346925</v>
      </c>
      <c r="DB89" s="47">
        <f>IF(DB88&lt;2,0,CV89-CX89+CW89)</f>
        <v>1291.3515209905604</v>
      </c>
      <c r="DC89" s="49">
        <f>DB89-CV89</f>
        <v>21.776871202530174</v>
      </c>
      <c r="DD89" s="50">
        <f>(CN89+CX89*12)*0.025</f>
        <v>54.851066810431284</v>
      </c>
      <c r="DE89" s="49">
        <f>CZ89+DB89-DD89</f>
        <v>2261.7607587074185</v>
      </c>
      <c r="DF89" s="50"/>
      <c r="DG89" s="51" t="e">
        <f>IF(CO88&gt;0,CP88+CQ89+CL88*0.025,NA())</f>
        <v>#N/A</v>
      </c>
      <c r="DH89" s="52"/>
      <c r="DI89" s="53" t="str">
        <f t="shared" ref="DI89:DI126" si="7">IF(CO87&gt;0,SUM(CP87:CR89)/CL87,"")</f>
        <v/>
      </c>
      <c r="DJ89" s="54">
        <f>(CL89-CL88)/CL88</f>
        <v>1.7295000028833982E-2</v>
      </c>
      <c r="DK89" s="70"/>
      <c r="DL89" s="55">
        <v>35</v>
      </c>
      <c r="DM89" s="6"/>
      <c r="DN89" s="6"/>
      <c r="DO89" s="6"/>
      <c r="DP89" s="6"/>
      <c r="DQ89" s="6"/>
      <c r="DR89" s="21" t="e">
        <f>IF(CO89=0,NA(),1)</f>
        <v>#N/A</v>
      </c>
      <c r="DS89" s="57">
        <v>5</v>
      </c>
      <c r="DT89" s="58">
        <f>DS89*4500</f>
        <v>22500</v>
      </c>
      <c r="DU89" s="57">
        <v>20</v>
      </c>
      <c r="DV89" s="57">
        <f>DU89*1800</f>
        <v>36000</v>
      </c>
      <c r="DW89" s="59">
        <f>5*LN(DV89/DT89)+6</f>
        <v>8.3500181462286776</v>
      </c>
      <c r="DX89" s="60">
        <f>DX88-0.1</f>
        <v>1.5000000000000013</v>
      </c>
      <c r="DY89" s="61">
        <f>DX89*4500</f>
        <v>6750.0000000000064</v>
      </c>
      <c r="DZ89" s="68">
        <f>DZ88-0.21</f>
        <v>12.64999999999997</v>
      </c>
      <c r="EA89" s="68">
        <f>EA88+5</f>
        <v>1975</v>
      </c>
      <c r="EB89" s="61">
        <f>DZ89*EA89</f>
        <v>24983.749999999942</v>
      </c>
      <c r="EC89" s="61">
        <f>IF(DY89=0,NA(),EB89/DY89)</f>
        <v>3.7012962962962841</v>
      </c>
      <c r="ED89" s="60">
        <f>5*LN(EB89/DY89)+7.6</f>
        <v>14.143415543210864</v>
      </c>
      <c r="EE89" s="63" t="s">
        <v>45</v>
      </c>
      <c r="EF89" s="60"/>
      <c r="EG89" s="86">
        <v>46303</v>
      </c>
    </row>
    <row r="90" spans="65:137" ht="15">
      <c r="BM90" t="str">
        <f t="shared" si="1"/>
        <v/>
      </c>
      <c r="CI90" s="19">
        <v>46304</v>
      </c>
      <c r="CJ90" s="49">
        <v>24</v>
      </c>
      <c r="CK90" s="87">
        <f>AA36</f>
        <v>0</v>
      </c>
      <c r="CL90" s="49">
        <f>DE89</f>
        <v>2261.7607587074185</v>
      </c>
      <c r="CM90" s="42">
        <f t="shared" si="4"/>
        <v>8.3500181462286776</v>
      </c>
      <c r="CN90" s="43">
        <f>CZ89</f>
        <v>1025.2603045272895</v>
      </c>
      <c r="CO90" s="6">
        <f>IF($BR$8="",0,IF($BR$8="C",CK90*$BR$7,IF($BR$8=4,DM90,IF($BR$8=5,DN90,IF($BR$8=7,DO90,IF($BR$8=10,DP90,IF($BR$8=14,DQ90,"")))))))</f>
        <v>0</v>
      </c>
      <c r="CP90" s="65">
        <f>CN90*CO90*CP$54</f>
        <v>0</v>
      </c>
      <c r="CQ90" s="69" t="str">
        <f>IF(CO89&gt;0,CN90*CO89*CQ$54,"")</f>
        <v/>
      </c>
      <c r="CR90" s="69" t="str">
        <f>IF(CO88&gt;0,CN90*CO88*CR$54,"")</f>
        <v/>
      </c>
      <c r="CS90" s="69" t="str">
        <f>IF(CO87&gt;0,CN87*CO87*CS$54,"")</f>
        <v/>
      </c>
      <c r="CT90" s="69" t="str">
        <f>IF(CO86&gt;0,CN86*CO86*CT$54,"")</f>
        <v/>
      </c>
      <c r="CU90" s="46">
        <f>CN90-SUM(CP90:CT90)</f>
        <v>1025.2603045272895</v>
      </c>
      <c r="CV90" s="47">
        <f>DB89</f>
        <v>1291.3515209905604</v>
      </c>
      <c r="CW90" s="47">
        <f>CU90/CM90</f>
        <v>122.78539837549368</v>
      </c>
      <c r="CX90" s="47">
        <f>CW78</f>
        <v>100.85681545519189</v>
      </c>
      <c r="CY90" s="47">
        <f>(CX90*$BS$41)-CX90</f>
        <v>40.34272618207676</v>
      </c>
      <c r="CZ90" s="49">
        <f>CU90-CW90+CX90+CY90</f>
        <v>1043.6744477890643</v>
      </c>
      <c r="DA90" s="49">
        <f>CZ90-CN90</f>
        <v>18.414143261774825</v>
      </c>
      <c r="DB90" s="47">
        <f>IF(DB89&lt;2,0,CV90-CX90+CW90)</f>
        <v>1313.2801039108622</v>
      </c>
      <c r="DC90" s="49">
        <f>DB90-CV90</f>
        <v>21.928582920301778</v>
      </c>
      <c r="DD90" s="50">
        <f>(CN90+CX90*12)*0.025</f>
        <v>55.888552249739803</v>
      </c>
      <c r="DE90" s="49">
        <f>CZ90+DB90-DD90</f>
        <v>2301.0659994501866</v>
      </c>
      <c r="DF90" s="50">
        <f t="shared" ref="DF90" si="8">DD90</f>
        <v>55.888552249739803</v>
      </c>
      <c r="DG90" s="51" t="e">
        <f>IF(CO89&gt;0,CP89+CQ90+CL89*0.025,NA())</f>
        <v>#N/A</v>
      </c>
      <c r="DH90" s="52"/>
      <c r="DI90" s="53" t="str">
        <f t="shared" si="7"/>
        <v/>
      </c>
      <c r="DJ90" s="54">
        <f>(CL90-CL89)/CL89</f>
        <v>1.7336239876043338E-2</v>
      </c>
      <c r="DK90" s="41">
        <f>CL90</f>
        <v>2261.7607587074185</v>
      </c>
      <c r="DL90" s="55">
        <v>36</v>
      </c>
      <c r="DM90" s="6"/>
      <c r="DN90" s="6"/>
      <c r="DO90" s="6"/>
      <c r="DP90" s="88"/>
      <c r="DQ90" s="88"/>
      <c r="DR90" s="21" t="e">
        <f>IF(CO90=0,NA(),1)</f>
        <v>#N/A</v>
      </c>
      <c r="DS90" s="57">
        <v>5</v>
      </c>
      <c r="DT90" s="58">
        <f>DS90*4500</f>
        <v>22500</v>
      </c>
      <c r="DU90" s="57">
        <v>20</v>
      </c>
      <c r="DV90" s="57">
        <f>DU90*1800</f>
        <v>36000</v>
      </c>
      <c r="DW90" s="59">
        <f>5*LN(DV90/DT90)+6</f>
        <v>8.3500181462286776</v>
      </c>
      <c r="DX90" s="60">
        <f>DX89-0.1</f>
        <v>1.4000000000000012</v>
      </c>
      <c r="DY90" s="61">
        <f>DX90*4500</f>
        <v>6300.0000000000055</v>
      </c>
      <c r="DZ90" s="68">
        <f>DZ89-0.21</f>
        <v>12.439999999999969</v>
      </c>
      <c r="EA90" s="68">
        <f>EA89+5</f>
        <v>1980</v>
      </c>
      <c r="EB90" s="61">
        <f>DZ90*EA90</f>
        <v>24631.199999999939</v>
      </c>
      <c r="EC90" s="61">
        <f>IF(DY90=0,NA(),EB90/DY90)</f>
        <v>3.9097142857142728</v>
      </c>
      <c r="ED90" s="60">
        <f>5*LN(EB90/DY90)+7.6</f>
        <v>14.417321493099934</v>
      </c>
      <c r="EE90" s="63" t="s">
        <v>45</v>
      </c>
      <c r="EF90" s="60"/>
      <c r="EG90" s="86">
        <v>46304</v>
      </c>
    </row>
    <row r="91" spans="65:137" ht="15">
      <c r="BM91" t="str">
        <f t="shared" si="1"/>
        <v/>
      </c>
      <c r="CI91" s="19">
        <v>46305</v>
      </c>
      <c r="CJ91" s="49">
        <v>25</v>
      </c>
      <c r="CK91" s="87">
        <f>AB36</f>
        <v>0</v>
      </c>
      <c r="CL91" s="49">
        <f>DE90</f>
        <v>2301.0659994501866</v>
      </c>
      <c r="CM91" s="42">
        <f t="shared" si="4"/>
        <v>8.3500181462286776</v>
      </c>
      <c r="CN91" s="43">
        <f>CZ90</f>
        <v>1043.6744477890643</v>
      </c>
      <c r="CO91" s="6">
        <f>IF($BR$8="",0,IF($BR$8="C",CK91*$BR$7,IF($BR$8=4,DM91,IF($BR$8=5,DN91,IF($BR$8=7,DO91,IF($BR$8=10,DP91,IF($BR$8=14,DQ91,"")))))))</f>
        <v>0</v>
      </c>
      <c r="CP91" s="65">
        <f>CN91*CO91*CP$54</f>
        <v>0</v>
      </c>
      <c r="CQ91" s="69" t="str">
        <f>IF(CO90&gt;0,CN91*CO90*CQ$54,"")</f>
        <v/>
      </c>
      <c r="CR91" s="69" t="str">
        <f>IF(CO89&gt;0,CN91*CO89*CR$54,"")</f>
        <v/>
      </c>
      <c r="CS91" s="69" t="str">
        <f>IF(CO88&gt;0,CN88*CO88*CS$54,"")</f>
        <v/>
      </c>
      <c r="CT91" s="69" t="str">
        <f>IF(CO87&gt;0,CN87*CO87*CT$54,"")</f>
        <v/>
      </c>
      <c r="CU91" s="46">
        <f>CN91-SUM(CP91:CT91)</f>
        <v>1043.6744477890643</v>
      </c>
      <c r="CV91" s="47">
        <f>DB90</f>
        <v>1313.2801039108622</v>
      </c>
      <c r="CW91" s="47">
        <f>CU91/CM91</f>
        <v>124.99068020114956</v>
      </c>
      <c r="CX91" s="47">
        <f>CW79</f>
        <v>102.86591454790364</v>
      </c>
      <c r="CY91" s="47">
        <f>(CX91*$BS$41)-CX91</f>
        <v>41.14636581916146</v>
      </c>
      <c r="CZ91" s="49">
        <f>CU91-CW91+CX91+CY91</f>
        <v>1062.6960479549798</v>
      </c>
      <c r="DA91" s="49">
        <f>CZ91-CN91</f>
        <v>19.021600165915515</v>
      </c>
      <c r="DB91" s="47">
        <f>IF(DB90&lt;2,0,CV91-CX91+CW91)</f>
        <v>1335.4048695641081</v>
      </c>
      <c r="DC91" s="49">
        <f>DB91-CV91</f>
        <v>22.124765653245959</v>
      </c>
      <c r="DD91" s="50">
        <f>(CN91+CX91*12)*0.025</f>
        <v>56.951635559097703</v>
      </c>
      <c r="DE91" s="49">
        <f>CZ91+DB91-DD91</f>
        <v>2341.1492819599903</v>
      </c>
      <c r="DF91" s="50"/>
      <c r="DG91" s="51" t="e">
        <f>IF(CO90&gt;0,CP90+CQ91+CL90*0.025,NA())</f>
        <v>#N/A</v>
      </c>
      <c r="DH91" s="52"/>
      <c r="DI91" s="53" t="str">
        <f t="shared" si="7"/>
        <v/>
      </c>
      <c r="DJ91" s="54">
        <f>(CL91-CL90)/CL90</f>
        <v>1.7378160175186157E-2</v>
      </c>
      <c r="DK91" s="70"/>
      <c r="DL91" s="55">
        <v>37</v>
      </c>
      <c r="DM91" s="6">
        <f>$BR$7</f>
        <v>0.95</v>
      </c>
      <c r="DN91" s="6">
        <f>$BR$7</f>
        <v>0.95</v>
      </c>
      <c r="DO91" s="6"/>
      <c r="DP91" s="6"/>
      <c r="DQ91" s="6"/>
      <c r="DR91" s="21" t="e">
        <f>IF(CO91=0,NA(),1)</f>
        <v>#N/A</v>
      </c>
      <c r="DS91" s="57">
        <v>5</v>
      </c>
      <c r="DT91" s="58">
        <f>DS91*4500</f>
        <v>22500</v>
      </c>
      <c r="DU91" s="57">
        <v>20</v>
      </c>
      <c r="DV91" s="57">
        <f>DU91*1800</f>
        <v>36000</v>
      </c>
      <c r="DW91" s="59">
        <f>5*LN(DV91/DT91)+6</f>
        <v>8.3500181462286776</v>
      </c>
      <c r="DX91" s="60">
        <f>DX90-0.1</f>
        <v>1.3000000000000012</v>
      </c>
      <c r="DY91" s="61">
        <f>DX91*4500</f>
        <v>5850.0000000000055</v>
      </c>
      <c r="DZ91" s="68">
        <f>DZ90-0.21</f>
        <v>12.229999999999968</v>
      </c>
      <c r="EA91" s="68">
        <f>EA90+5</f>
        <v>1985</v>
      </c>
      <c r="EB91" s="61">
        <f>DZ91*EA91</f>
        <v>24276.549999999937</v>
      </c>
      <c r="EC91" s="61">
        <f>IF(DY91=0,NA(),EB91/DY91)</f>
        <v>4.1498376068375924</v>
      </c>
      <c r="ED91" s="60">
        <f>5*LN(EB91/DY91)+7.6</f>
        <v>14.715346012972329</v>
      </c>
      <c r="EE91" s="63" t="s">
        <v>45</v>
      </c>
      <c r="EF91" s="60"/>
      <c r="EG91" s="86">
        <v>46305</v>
      </c>
    </row>
    <row r="92" spans="65:137" ht="15">
      <c r="BM92" t="str">
        <f t="shared" si="1"/>
        <v/>
      </c>
      <c r="CI92" s="19">
        <v>46306</v>
      </c>
      <c r="CJ92" s="49">
        <v>26</v>
      </c>
      <c r="CK92" s="87">
        <f>AC36</f>
        <v>0</v>
      </c>
      <c r="CL92" s="49">
        <f>DE91</f>
        <v>2341.1492819599903</v>
      </c>
      <c r="CM92" s="42">
        <f t="shared" si="4"/>
        <v>8.3500181462286776</v>
      </c>
      <c r="CN92" s="43">
        <f>CZ91</f>
        <v>1062.6960479549798</v>
      </c>
      <c r="CO92" s="6">
        <f>IF($BR$8="",0,IF($BR$8="C",CK92*$BR$7,IF($BR$8=4,DM92,IF($BR$8=5,DN92,IF($BR$8=7,DO92,IF($BR$8=10,DP92,IF($BR$8=14,DQ92,"")))))))</f>
        <v>0</v>
      </c>
      <c r="CP92" s="65">
        <f>CN92*CO92*CP$54</f>
        <v>0</v>
      </c>
      <c r="CQ92" s="69" t="str">
        <f>IF(CO91&gt;0,CN92*CO91*CQ$54,"")</f>
        <v/>
      </c>
      <c r="CR92" s="69" t="str">
        <f>IF(CO90&gt;0,CN92*CO90*CR$54,"")</f>
        <v/>
      </c>
      <c r="CS92" s="69" t="str">
        <f>IF(CO89&gt;0,CN89*CO89*CS$54,"")</f>
        <v/>
      </c>
      <c r="CT92" s="69" t="str">
        <f>IF(CO88&gt;0,CN88*CO88*CT$54,"")</f>
        <v/>
      </c>
      <c r="CU92" s="46">
        <f>CN92-SUM(CP92:CT92)</f>
        <v>1062.6960479549798</v>
      </c>
      <c r="CV92" s="47">
        <f>DB91</f>
        <v>1335.4048695641081</v>
      </c>
      <c r="CW92" s="47">
        <f>CU92/CM92</f>
        <v>127.26871119854405</v>
      </c>
      <c r="CX92" s="47">
        <f>CW80</f>
        <v>104.64905735943377</v>
      </c>
      <c r="CY92" s="47">
        <f>(CX92*$BS$41)-CX92</f>
        <v>41.859622943773488</v>
      </c>
      <c r="CZ92" s="49">
        <f>CU92-CW92+CX92+CY92</f>
        <v>1081.9360170596431</v>
      </c>
      <c r="DA92" s="49">
        <f>CZ92-CN92</f>
        <v>19.23996910466326</v>
      </c>
      <c r="DB92" s="47">
        <f>IF(DB91&lt;2,0,CV92-CX92+CW92)</f>
        <v>1358.0245234032184</v>
      </c>
      <c r="DC92" s="49">
        <f>DB92-CV92</f>
        <v>22.619653839110242</v>
      </c>
      <c r="DD92" s="50">
        <f>(CN92+CX92*12)*0.025</f>
        <v>57.962118406704626</v>
      </c>
      <c r="DE92" s="49">
        <f>CZ92+DB92-DD92</f>
        <v>2381.9984220561569</v>
      </c>
      <c r="DF92" s="50">
        <f t="shared" ref="DF92" si="9">DD92</f>
        <v>57.962118406704626</v>
      </c>
      <c r="DG92" s="51" t="e">
        <f>IF(CO91&gt;0,CP91+CQ92+CL91*0.025,NA())</f>
        <v>#N/A</v>
      </c>
      <c r="DH92" s="52"/>
      <c r="DI92" s="53" t="str">
        <f t="shared" si="7"/>
        <v/>
      </c>
      <c r="DJ92" s="54">
        <f>(CL92-CL91)/CL91</f>
        <v>1.7419440606823579E-2</v>
      </c>
      <c r="DK92" s="70"/>
      <c r="DL92" s="55">
        <v>38</v>
      </c>
      <c r="DM92" s="6"/>
      <c r="DN92" s="6"/>
      <c r="DO92" s="6"/>
      <c r="DP92" s="88"/>
      <c r="DQ92" s="6"/>
      <c r="DR92" s="21" t="e">
        <f>IF(CO92=0,NA(),1)</f>
        <v>#N/A</v>
      </c>
      <c r="DS92" s="57">
        <v>5</v>
      </c>
      <c r="DT92" s="58">
        <f>DS92*4500</f>
        <v>22500</v>
      </c>
      <c r="DU92" s="57">
        <v>20</v>
      </c>
      <c r="DV92" s="57">
        <f>DU92*1800</f>
        <v>36000</v>
      </c>
      <c r="DW92" s="59">
        <f>5*LN(DV92/DT92)+6</f>
        <v>8.3500181462286776</v>
      </c>
      <c r="DX92" s="60">
        <f>DX91-0.1</f>
        <v>1.2000000000000011</v>
      </c>
      <c r="DY92" s="61">
        <f>DX92*4500</f>
        <v>5400.0000000000045</v>
      </c>
      <c r="DZ92" s="68">
        <f>DZ91-0.21</f>
        <v>12.019999999999968</v>
      </c>
      <c r="EA92" s="68">
        <f>EA91+5</f>
        <v>1990</v>
      </c>
      <c r="EB92" s="61">
        <f>DZ92*EA92</f>
        <v>23919.799999999934</v>
      </c>
      <c r="EC92" s="61">
        <f>IF(DY92=0,NA(),EB92/DY92)</f>
        <v>4.4295925925925763</v>
      </c>
      <c r="ED92" s="60">
        <f>5*LN(EB92/DY92)+7.6</f>
        <v>15.041538071366151</v>
      </c>
      <c r="EE92" s="63" t="s">
        <v>45</v>
      </c>
      <c r="EF92" s="60"/>
      <c r="EG92" s="86">
        <v>46306</v>
      </c>
    </row>
    <row r="93" spans="65:137" ht="15">
      <c r="BM93" t="str">
        <f t="shared" si="1"/>
        <v/>
      </c>
      <c r="CI93" s="19">
        <v>46307</v>
      </c>
      <c r="CJ93" s="49">
        <v>27</v>
      </c>
      <c r="CK93" s="87">
        <f>AD36</f>
        <v>0</v>
      </c>
      <c r="CL93" s="49">
        <f>DE92</f>
        <v>2381.9984220561569</v>
      </c>
      <c r="CM93" s="42">
        <f t="shared" si="4"/>
        <v>8.3500181462286776</v>
      </c>
      <c r="CN93" s="43">
        <f>CZ92</f>
        <v>1081.9360170596431</v>
      </c>
      <c r="CO93" s="6">
        <f>IF($BR$8="",0,IF($BR$8="C",CK93*$BR$7,IF($BR$8=4,DM93,IF($BR$8=5,DN93,IF($BR$8=7,DO93,IF($BR$8=10,DP93,IF($BR$8=14,DQ93,"")))))))</f>
        <v>0</v>
      </c>
      <c r="CP93" s="65">
        <f>CN93*CO93*CP$54</f>
        <v>0</v>
      </c>
      <c r="CQ93" s="69" t="str">
        <f>IF(CO92&gt;0,CN93*CO92*CQ$54,"")</f>
        <v/>
      </c>
      <c r="CR93" s="69" t="str">
        <f>IF(CO91&gt;0,CN93*CO91*CR$54,"")</f>
        <v/>
      </c>
      <c r="CS93" s="69" t="str">
        <f>IF(CO90&gt;0,CN90*CO90*CS$54,"")</f>
        <v/>
      </c>
      <c r="CT93" s="69" t="str">
        <f>IF(CO89&gt;0,CN89*CO89*CT$54,"")</f>
        <v/>
      </c>
      <c r="CU93" s="46">
        <f>CN93-SUM(CP93:CT93)</f>
        <v>1081.9360170596431</v>
      </c>
      <c r="CV93" s="47">
        <f>DB92</f>
        <v>1358.0245234032184</v>
      </c>
      <c r="CW93" s="47">
        <f>CU93/CM93</f>
        <v>129.57289410781752</v>
      </c>
      <c r="CX93" s="47">
        <f>CW81</f>
        <v>106.31307287609867</v>
      </c>
      <c r="CY93" s="47">
        <f>(CX93*$BS$41)-CX93</f>
        <v>42.525229150439472</v>
      </c>
      <c r="CZ93" s="49">
        <f>CU93-CW93+CX93+CY93</f>
        <v>1101.2014249783635</v>
      </c>
      <c r="DA93" s="49">
        <f>CZ93-CN93</f>
        <v>19.265407918720484</v>
      </c>
      <c r="DB93" s="47">
        <f>IF(DB92&lt;2,0,CV93-CX93+CW93)</f>
        <v>1381.2843446349373</v>
      </c>
      <c r="DC93" s="49">
        <f>DB93-CV93</f>
        <v>23.259821231718888</v>
      </c>
      <c r="DD93" s="50">
        <f>(CN93+CX93*12)*0.025</f>
        <v>58.942322289320686</v>
      </c>
      <c r="DE93" s="49">
        <f>CZ93+DB93-DD93</f>
        <v>2423.5434473239802</v>
      </c>
      <c r="DF93" s="50"/>
      <c r="DG93" s="51" t="e">
        <f>IF(CO92&gt;0,CP92+CQ93+CL92*0.025,NA())</f>
        <v>#N/A</v>
      </c>
      <c r="DH93" s="52"/>
      <c r="DI93" s="53" t="str">
        <f t="shared" si="7"/>
        <v/>
      </c>
      <c r="DJ93" s="54">
        <f>(CL93-CL92)/CL92</f>
        <v>1.7448327798203472E-2</v>
      </c>
      <c r="DK93" s="41"/>
      <c r="DL93" s="55">
        <v>39</v>
      </c>
      <c r="DM93" s="6"/>
      <c r="DN93" s="6"/>
      <c r="DO93" s="88"/>
      <c r="DP93" s="6"/>
      <c r="DQ93" s="88"/>
      <c r="DR93" s="21" t="e">
        <f>IF(CO93=0,NA(),1)</f>
        <v>#N/A</v>
      </c>
      <c r="DS93" s="57">
        <v>5</v>
      </c>
      <c r="DT93" s="58">
        <f>DS93*4500</f>
        <v>22500</v>
      </c>
      <c r="DU93" s="57">
        <v>20</v>
      </c>
      <c r="DV93" s="57">
        <f>DU93*1800</f>
        <v>36000</v>
      </c>
      <c r="DW93" s="59">
        <f>5*LN(DV93/DT93)+6</f>
        <v>8.3500181462286776</v>
      </c>
      <c r="DX93" s="60">
        <f>DX92-0.1</f>
        <v>1.100000000000001</v>
      </c>
      <c r="DY93" s="61">
        <f>DX93*4500</f>
        <v>4950.0000000000045</v>
      </c>
      <c r="DZ93" s="68">
        <f>DZ92-0.21</f>
        <v>11.809999999999967</v>
      </c>
      <c r="EA93" s="68">
        <f>EA92+5</f>
        <v>1995</v>
      </c>
      <c r="EB93" s="61">
        <f>DZ93*EA93</f>
        <v>23560.949999999935</v>
      </c>
      <c r="EC93" s="61">
        <f>IF(DY93=0,NA(),EB93/DY93)</f>
        <v>4.7597878787878614</v>
      </c>
      <c r="ED93" s="60">
        <f>5*LN(EB93/DY93)+7.6</f>
        <v>15.401015519852475</v>
      </c>
      <c r="EE93" s="63" t="s">
        <v>45</v>
      </c>
      <c r="EF93" s="60"/>
      <c r="EG93" s="86">
        <v>46307</v>
      </c>
    </row>
    <row r="94" spans="65:137" ht="15">
      <c r="BM94" t="str">
        <f t="shared" si="1"/>
        <v/>
      </c>
      <c r="CI94" s="19">
        <v>46308</v>
      </c>
      <c r="CJ94" s="49">
        <v>28</v>
      </c>
      <c r="CK94" s="87">
        <f>AE36</f>
        <v>0</v>
      </c>
      <c r="CL94" s="49">
        <f>DE93</f>
        <v>2423.5434473239802</v>
      </c>
      <c r="CM94" s="42">
        <f t="shared" si="4"/>
        <v>8.3500181462286776</v>
      </c>
      <c r="CN94" s="43">
        <f>CZ93</f>
        <v>1101.2014249783635</v>
      </c>
      <c r="CO94" s="6">
        <f>IF($BR$8="",0,IF($BR$8="C",CK94*$BR$7,IF($BR$8=4,DM94,IF($BR$8=5,DN94,IF($BR$8=7,DO94,IF($BR$8=10,DP94,IF($BR$8=14,DQ94,"")))))))</f>
        <v>0</v>
      </c>
      <c r="CP94" s="65">
        <f>CN94*CO94*CP$54</f>
        <v>0</v>
      </c>
      <c r="CQ94" s="69" t="str">
        <f>IF(CO93&gt;0,CN94*CO93*CQ$54,"")</f>
        <v/>
      </c>
      <c r="CR94" s="69" t="str">
        <f>IF(CO92&gt;0,CN94*CO92*CR$54,"")</f>
        <v/>
      </c>
      <c r="CS94" s="69" t="str">
        <f>IF(CO91&gt;0,CN91*CO91*CS$54,"")</f>
        <v/>
      </c>
      <c r="CT94" s="69" t="str">
        <f>IF(CO90&gt;0,CN90*CO90*CT$54,"")</f>
        <v/>
      </c>
      <c r="CU94" s="46">
        <f>CN94-SUM(CP94:CT94)</f>
        <v>1101.2014249783635</v>
      </c>
      <c r="CV94" s="47">
        <f>DB93</f>
        <v>1381.2843446349373</v>
      </c>
      <c r="CW94" s="47">
        <f>CU94/CM94</f>
        <v>131.88012357502791</v>
      </c>
      <c r="CX94" s="47">
        <f>CW82</f>
        <v>107.93267988312543</v>
      </c>
      <c r="CY94" s="47">
        <f>(CX94*$BS$41)-CX94</f>
        <v>43.173071953250158</v>
      </c>
      <c r="CZ94" s="49">
        <f>CU94-CW94+CX94+CY94</f>
        <v>1120.4270532397113</v>
      </c>
      <c r="DA94" s="49">
        <f>CZ94-CN94</f>
        <v>19.225628261347765</v>
      </c>
      <c r="DB94" s="47">
        <f>IF(DB93&lt;2,0,CV94-CX94+CW94)</f>
        <v>1405.2317883268397</v>
      </c>
      <c r="DC94" s="49">
        <f>DB94-CV94</f>
        <v>23.947443691902436</v>
      </c>
      <c r="DD94" s="50">
        <f>(CN94+CX94*12)*0.025</f>
        <v>59.909839589396711</v>
      </c>
      <c r="DE94" s="49">
        <f>CZ94+DB94-DD94</f>
        <v>2465.7490019771544</v>
      </c>
      <c r="DF94" s="50">
        <f t="shared" ref="DF94" si="10">DD94</f>
        <v>59.909839589396711</v>
      </c>
      <c r="DG94" s="51" t="e">
        <f>IF(CO93&gt;0,CP93+CQ94+CL93*0.025,NA())</f>
        <v>#N/A</v>
      </c>
      <c r="DH94" s="52">
        <f>IF($BR$5="F",315*CZ94/EB94,315*CZ94/DV94)</f>
        <v>9.8037367158474744</v>
      </c>
      <c r="DI94" s="53" t="str">
        <f t="shared" si="7"/>
        <v/>
      </c>
      <c r="DJ94" s="54">
        <f>(CL94-CL93)/CL93</f>
        <v>1.7441248022306163E-2</v>
      </c>
      <c r="DK94" s="70"/>
      <c r="DL94" s="55">
        <v>40</v>
      </c>
      <c r="DM94" s="6"/>
      <c r="DN94" s="6"/>
      <c r="DO94" s="6"/>
      <c r="DP94" s="6"/>
      <c r="DQ94" s="88"/>
      <c r="DR94" s="21" t="e">
        <f>IF(CO94=0,NA(),1)</f>
        <v>#N/A</v>
      </c>
      <c r="DS94" s="57">
        <v>5</v>
      </c>
      <c r="DT94" s="58">
        <f>DS94*4500</f>
        <v>22500</v>
      </c>
      <c r="DU94" s="57">
        <v>20</v>
      </c>
      <c r="DV94" s="57">
        <f>DU94*1800</f>
        <v>36000</v>
      </c>
      <c r="DW94" s="59">
        <f>5*LN(DV94/DT94)+6</f>
        <v>8.3500181462286776</v>
      </c>
      <c r="DX94" s="60">
        <f>DX93-0.1</f>
        <v>1.0000000000000009</v>
      </c>
      <c r="DY94" s="61">
        <f>DX94*4500</f>
        <v>4500.0000000000036</v>
      </c>
      <c r="DZ94" s="68">
        <f>DZ93-0.21</f>
        <v>11.599999999999966</v>
      </c>
      <c r="EA94" s="68">
        <f>EA93+5</f>
        <v>2000</v>
      </c>
      <c r="EB94" s="61">
        <f>DZ94*EA94</f>
        <v>23199.999999999931</v>
      </c>
      <c r="EC94" s="61">
        <f>IF(DY94=0,NA(),EB94/DY94)</f>
        <v>5.1555555555555364</v>
      </c>
      <c r="ED94" s="60">
        <f>5*LN(EB94/DY94)+7.6</f>
        <v>15.800374409479932</v>
      </c>
      <c r="EE94" s="63" t="s">
        <v>45</v>
      </c>
      <c r="EF94" s="60"/>
      <c r="EG94" s="86">
        <v>46308</v>
      </c>
    </row>
    <row r="95" spans="65:137" ht="15">
      <c r="BM95" t="str">
        <f t="shared" si="1"/>
        <v/>
      </c>
      <c r="CI95" s="19">
        <v>46309</v>
      </c>
      <c r="CJ95" s="49">
        <v>29</v>
      </c>
      <c r="CK95" s="87">
        <f>AF36</f>
        <v>0</v>
      </c>
      <c r="CL95" s="49">
        <f>DE94</f>
        <v>2465.7490019771544</v>
      </c>
      <c r="CM95" s="42">
        <f t="shared" si="4"/>
        <v>8.3500181462286776</v>
      </c>
      <c r="CN95" s="43">
        <f>CZ94</f>
        <v>1120.4270532397113</v>
      </c>
      <c r="CO95" s="6">
        <f>IF($BR$8="",0,IF($BR$8="C",CK95*$BR$7,IF($BR$8=4,DM95,IF($BR$8=5,DN95,IF($BR$8=7,DO95,IF($BR$8=10,DP95,IF($BR$8=14,DQ95,"")))))))</f>
        <v>0</v>
      </c>
      <c r="CP95" s="65">
        <f>CN95*CO95*CP$54</f>
        <v>0</v>
      </c>
      <c r="CQ95" s="69" t="str">
        <f>IF(CO94&gt;0,CN95*CO94*CQ$54,"")</f>
        <v/>
      </c>
      <c r="CR95" s="69" t="str">
        <f>IF(CO93&gt;0,CN95*CO93*CR$54,"")</f>
        <v/>
      </c>
      <c r="CS95" s="69" t="str">
        <f>IF(CO92&gt;0,CN92*CO92*CS$54,"")</f>
        <v/>
      </c>
      <c r="CT95" s="69" t="str">
        <f>IF(CO91&gt;0,CN91*CO91*CT$54,"")</f>
        <v/>
      </c>
      <c r="CU95" s="46">
        <f>CN95-SUM(CP95:CT95)</f>
        <v>1120.4270532397113</v>
      </c>
      <c r="CV95" s="47">
        <f>DB94</f>
        <v>1405.2317883268397</v>
      </c>
      <c r="CW95" s="47">
        <f>CU95/CM95</f>
        <v>134.18258902176842</v>
      </c>
      <c r="CX95" s="47">
        <f>CW83</f>
        <v>109.55895411441455</v>
      </c>
      <c r="CY95" s="47">
        <f>(CX95*$BS$41)-CX95</f>
        <v>43.823581645765813</v>
      </c>
      <c r="CZ95" s="49">
        <f>CU95-CW95+CX95+CY95</f>
        <v>1139.6269999781234</v>
      </c>
      <c r="DA95" s="49">
        <f>CZ95-CN95</f>
        <v>19.199946738412109</v>
      </c>
      <c r="DB95" s="47">
        <f>IF(DB94&lt;2,0,CV95-CX95+CW95)</f>
        <v>1429.8554232341935</v>
      </c>
      <c r="DC95" s="49">
        <f>DB95-CV95</f>
        <v>24.623634907353789</v>
      </c>
      <c r="DD95" s="50">
        <f>(CN95+CX95*12)*0.025</f>
        <v>60.878362565317154</v>
      </c>
      <c r="DE95" s="49">
        <f>CZ95+DB95-DD95</f>
        <v>2508.6040606469996</v>
      </c>
      <c r="DF95" s="50"/>
      <c r="DG95" s="51" t="e">
        <f>IF(CO94&gt;0,CP94+CQ95+CL94*0.025,NA())</f>
        <v>#N/A</v>
      </c>
      <c r="DH95" s="52"/>
      <c r="DI95" s="53" t="str">
        <f t="shared" si="7"/>
        <v/>
      </c>
      <c r="DJ95" s="54">
        <f>(CL95-CL94)/CL94</f>
        <v>1.7414812472116639E-2</v>
      </c>
      <c r="DK95" s="70"/>
      <c r="DL95" s="55">
        <v>41</v>
      </c>
      <c r="DM95" s="6">
        <f>$BR$7</f>
        <v>0.95</v>
      </c>
      <c r="DN95" s="6"/>
      <c r="DO95" s="6">
        <f>$BR$7</f>
        <v>0.95</v>
      </c>
      <c r="DP95" s="6">
        <f>$BR$7</f>
        <v>0.95</v>
      </c>
      <c r="DQ95" s="6">
        <f>$BR$7</f>
        <v>0.95</v>
      </c>
      <c r="DR95" s="21" t="e">
        <f>IF(CO95=0,NA(),1)</f>
        <v>#N/A</v>
      </c>
      <c r="DS95" s="57">
        <v>5</v>
      </c>
      <c r="DT95" s="58">
        <f>DS95*4500</f>
        <v>22500</v>
      </c>
      <c r="DU95" s="57">
        <v>20</v>
      </c>
      <c r="DV95" s="57">
        <f>DU95*1800</f>
        <v>36000</v>
      </c>
      <c r="DW95" s="59">
        <f>5*LN(DV95/DT95)+6</f>
        <v>8.3500181462286776</v>
      </c>
      <c r="DX95" s="60">
        <f>DX94-0.1</f>
        <v>0.90000000000000091</v>
      </c>
      <c r="DY95" s="61">
        <f>DX95*4500</f>
        <v>4050.0000000000041</v>
      </c>
      <c r="DZ95" s="68">
        <f>DZ94-0.21</f>
        <v>11.389999999999965</v>
      </c>
      <c r="EA95" s="68">
        <f>EA94+5</f>
        <v>2005</v>
      </c>
      <c r="EB95" s="61">
        <f>DZ95*EA95</f>
        <v>22836.949999999932</v>
      </c>
      <c r="EC95" s="61">
        <f>IF(DY95=0,NA(),EB95/DY95)</f>
        <v>5.6387530864197304</v>
      </c>
      <c r="ED95" s="60">
        <f>5*LN(EB95/DY95)+7.6</f>
        <v>16.248314785495857</v>
      </c>
      <c r="EE95" s="63" t="s">
        <v>45</v>
      </c>
      <c r="EF95" s="60"/>
      <c r="EG95" s="86">
        <v>46309</v>
      </c>
    </row>
    <row r="96" spans="65:137" ht="15">
      <c r="BM96" t="str">
        <f t="shared" si="1"/>
        <v/>
      </c>
      <c r="CI96" s="19">
        <v>46310</v>
      </c>
      <c r="CJ96" s="49">
        <v>30</v>
      </c>
      <c r="CK96" s="87">
        <f>AG36</f>
        <v>0</v>
      </c>
      <c r="CL96" s="49">
        <f>DE95</f>
        <v>2508.6040606469996</v>
      </c>
      <c r="CM96" s="42">
        <f t="shared" si="4"/>
        <v>8.3500181462286776</v>
      </c>
      <c r="CN96" s="43">
        <f>CZ95</f>
        <v>1139.6269999781234</v>
      </c>
      <c r="CO96" s="6">
        <f>IF($BR$8="",0,IF($BR$8="C",CK96*$BR$7,IF($BR$8=4,DM96,IF($BR$8=5,DN96,IF($BR$8=7,DO96,IF($BR$8=10,DP96,IF($BR$8=14,DQ96,"")))))))</f>
        <v>0</v>
      </c>
      <c r="CP96" s="65">
        <f>CN96*CO96*CP$54</f>
        <v>0</v>
      </c>
      <c r="CQ96" s="69" t="str">
        <f>IF(CO95&gt;0,CN96*CO95*CQ$54,"")</f>
        <v/>
      </c>
      <c r="CR96" s="69" t="str">
        <f>IF(CO94&gt;0,CN96*CO94*CR$54,"")</f>
        <v/>
      </c>
      <c r="CS96" s="69" t="str">
        <f>IF(CO93&gt;0,CN93*CO93*CS$54,"")</f>
        <v/>
      </c>
      <c r="CT96" s="69" t="str">
        <f>IF(CO92&gt;0,CN92*CO92*CT$54,"")</f>
        <v/>
      </c>
      <c r="CU96" s="46">
        <f>CN96-SUM(CP96:CT96)</f>
        <v>1139.6269999781234</v>
      </c>
      <c r="CV96" s="47">
        <f>DB95</f>
        <v>1429.8554232341935</v>
      </c>
      <c r="CW96" s="47">
        <f>CU96/CM96</f>
        <v>136.48197884370359</v>
      </c>
      <c r="CX96" s="47">
        <f>CW84</f>
        <v>111.2257201127138</v>
      </c>
      <c r="CY96" s="47">
        <f>(CX96*$BS$41)-CX96</f>
        <v>44.490288045085506</v>
      </c>
      <c r="CZ96" s="49">
        <f>CU96-CW96+CX96+CY96</f>
        <v>1158.861029292219</v>
      </c>
      <c r="DA96" s="49">
        <f>CZ96-CN96</f>
        <v>19.234029314095551</v>
      </c>
      <c r="DB96" s="47">
        <f>IF(DB95&lt;2,0,CV96-CX96+CW96)</f>
        <v>1455.1116819651834</v>
      </c>
      <c r="DC96" s="49">
        <f>DB96-CV96</f>
        <v>25.256258730989884</v>
      </c>
      <c r="DD96" s="50">
        <f>(CN96+CX96*12)*0.025</f>
        <v>61.858391033267232</v>
      </c>
      <c r="DE96" s="49">
        <f>CZ96+DB96-DD96</f>
        <v>2552.1143202241351</v>
      </c>
      <c r="DF96" s="50">
        <f t="shared" ref="DF96" si="11">DD96</f>
        <v>61.858391033267232</v>
      </c>
      <c r="DG96" s="51" t="e">
        <f>IF(CO95&gt;0,CP95+CQ96+CL95*0.025,NA())</f>
        <v>#N/A</v>
      </c>
      <c r="DH96" s="52"/>
      <c r="DI96" s="53" t="str">
        <f t="shared" si="7"/>
        <v/>
      </c>
      <c r="DJ96" s="54">
        <f>(CL96-CL95)/CL95</f>
        <v>1.7380138300971432E-2</v>
      </c>
      <c r="DK96" s="41">
        <f>CL96</f>
        <v>2508.6040606469996</v>
      </c>
      <c r="DL96" s="55">
        <v>42</v>
      </c>
      <c r="DM96" s="6"/>
      <c r="DN96" s="6">
        <f>$BR$7</f>
        <v>0.95</v>
      </c>
      <c r="DO96" s="6"/>
      <c r="DP96" s="6"/>
      <c r="DQ96" s="6"/>
      <c r="DR96" s="21" t="e">
        <f>IF(CO96=0,NA(),1)</f>
        <v>#N/A</v>
      </c>
      <c r="DS96" s="57">
        <v>5</v>
      </c>
      <c r="DT96" s="58">
        <f>DS96*4500</f>
        <v>22500</v>
      </c>
      <c r="DU96" s="57">
        <v>20</v>
      </c>
      <c r="DV96" s="57">
        <f>DU96*1800</f>
        <v>36000</v>
      </c>
      <c r="DW96" s="59">
        <f>5*LN(DV96/DT96)+6</f>
        <v>8.3500181462286776</v>
      </c>
      <c r="DX96" s="60">
        <f>DX95-0.1</f>
        <v>0.80000000000000093</v>
      </c>
      <c r="DY96" s="61">
        <f>DX96*4500</f>
        <v>3600.0000000000041</v>
      </c>
      <c r="DZ96" s="68">
        <f>DZ95-0.21</f>
        <v>11.179999999999964</v>
      </c>
      <c r="EA96" s="68">
        <f>EA95+5</f>
        <v>2010</v>
      </c>
      <c r="EB96" s="61">
        <f>DZ96*EA96</f>
        <v>22471.799999999927</v>
      </c>
      <c r="EC96" s="61">
        <f>IF(DY96=0,NA(),EB96/DY96)</f>
        <v>6.2421666666666393</v>
      </c>
      <c r="ED96" s="60">
        <f>5*LN(EB96/DY96)+7.6</f>
        <v>16.756636721679342</v>
      </c>
      <c r="EE96" s="63" t="s">
        <v>45</v>
      </c>
      <c r="EF96" s="60"/>
      <c r="EG96" s="86">
        <v>46310</v>
      </c>
    </row>
    <row r="97" spans="65:137" ht="15">
      <c r="BM97" t="str">
        <f t="shared" si="1"/>
        <v/>
      </c>
      <c r="CI97" s="19">
        <v>46311</v>
      </c>
      <c r="CJ97" s="49">
        <v>31</v>
      </c>
      <c r="CK97" s="87">
        <f>AH36</f>
        <v>0</v>
      </c>
      <c r="CL97" s="49">
        <f>DE96</f>
        <v>2552.1143202241351</v>
      </c>
      <c r="CM97" s="42">
        <f t="shared" si="4"/>
        <v>8.3500181462286776</v>
      </c>
      <c r="CN97" s="43">
        <f>CZ96</f>
        <v>1158.861029292219</v>
      </c>
      <c r="CO97" s="6">
        <f>IF($BR$8="",0,IF($BR$8="C",CK97*$BR$7,IF($BR$8=4,DM97,IF($BR$8=5,DN97,IF($BR$8=7,DO97,IF($BR$8=10,DP97,IF($BR$8=14,DQ97,"")))))))</f>
        <v>0</v>
      </c>
      <c r="CP97" s="65">
        <f>CN97*CO97*CP$54</f>
        <v>0</v>
      </c>
      <c r="CQ97" s="69" t="str">
        <f>IF(CO96&gt;0,CN97*CO96*CQ$54,"")</f>
        <v/>
      </c>
      <c r="CR97" s="69" t="str">
        <f>IF(CO95&gt;0,CN97*CO95*CR$54,"")</f>
        <v/>
      </c>
      <c r="CS97" s="69" t="str">
        <f>IF(CO94&gt;0,CN94*CO94*CS$54,"")</f>
        <v/>
      </c>
      <c r="CT97" s="69" t="str">
        <f>IF(CO93&gt;0,CN93*CO93*CT$54,"")</f>
        <v/>
      </c>
      <c r="CU97" s="46">
        <f>CN97-SUM(CP97:CT97)</f>
        <v>1158.861029292219</v>
      </c>
      <c r="CV97" s="47">
        <f>DB96</f>
        <v>1455.1116819651834</v>
      </c>
      <c r="CW97" s="47">
        <f>CU97/CM97</f>
        <v>138.78545040235915</v>
      </c>
      <c r="CX97" s="47">
        <f>CW85</f>
        <v>112.95435577486769</v>
      </c>
      <c r="CY97" s="47">
        <f>(CX97*$BS$41)-CX97</f>
        <v>45.181742309947069</v>
      </c>
      <c r="CZ97" s="49">
        <f>CU97-CW97+CX97+CY97</f>
        <v>1178.2116769746747</v>
      </c>
      <c r="DA97" s="49">
        <f>CZ97-CN97</f>
        <v>19.350647682455701</v>
      </c>
      <c r="DB97" s="47">
        <f>IF(DB96&lt;2,0,CV97-CX97+CW97)</f>
        <v>1480.9427765926748</v>
      </c>
      <c r="DC97" s="49">
        <f>DB97-CV97</f>
        <v>25.831094627491439</v>
      </c>
      <c r="DD97" s="50">
        <f>(CN97+CX97*12)*0.025</f>
        <v>62.857832464765785</v>
      </c>
      <c r="DE97" s="49">
        <f>CZ97+DB97-DD97</f>
        <v>2596.2966211025837</v>
      </c>
      <c r="DF97" s="50"/>
      <c r="DG97" s="51" t="e">
        <f>IF(CO96&gt;0,CP96+CQ97+CL96*0.025,NA())</f>
        <v>#N/A</v>
      </c>
      <c r="DH97" s="52"/>
      <c r="DI97" s="53" t="str">
        <f t="shared" si="7"/>
        <v/>
      </c>
      <c r="DJ97" s="54">
        <f>(CL97-CL96)/CL96</f>
        <v>1.7344410885595723E-2</v>
      </c>
      <c r="DK97" s="70"/>
      <c r="DL97" s="55">
        <v>43</v>
      </c>
      <c r="DM97" s="6"/>
      <c r="DN97" s="6"/>
      <c r="DO97" s="6"/>
      <c r="DP97" s="6"/>
      <c r="DQ97" s="6"/>
      <c r="DR97" s="21" t="e">
        <f>IF(CO97=0,NA(),1)</f>
        <v>#N/A</v>
      </c>
      <c r="DS97" s="57">
        <v>5</v>
      </c>
      <c r="DT97" s="58">
        <f>DS97*4500</f>
        <v>22500</v>
      </c>
      <c r="DU97" s="57">
        <v>20</v>
      </c>
      <c r="DV97" s="57">
        <f>DU97*1800</f>
        <v>36000</v>
      </c>
      <c r="DW97" s="59">
        <f>5*LN(DV97/DT97)+6</f>
        <v>8.3500181462286776</v>
      </c>
      <c r="DX97" s="60">
        <f>DX96-0.1</f>
        <v>0.70000000000000095</v>
      </c>
      <c r="DY97" s="61">
        <f>DX97*4500</f>
        <v>3150.0000000000041</v>
      </c>
      <c r="DZ97" s="68">
        <f>DZ96-0.21</f>
        <v>10.969999999999963</v>
      </c>
      <c r="EA97" s="68">
        <f>EA96+5</f>
        <v>2015</v>
      </c>
      <c r="EB97" s="61">
        <f>DZ97*EA97</f>
        <v>22104.549999999927</v>
      </c>
      <c r="EC97" s="61">
        <f>IF(DY97=0,NA(),EB97/DY97)</f>
        <v>7.017317460317428</v>
      </c>
      <c r="ED97" s="60">
        <f>5*LN(EB97/DY97)+7.6</f>
        <v>17.341905084241194</v>
      </c>
      <c r="EE97" s="63" t="s">
        <v>45</v>
      </c>
      <c r="EF97" s="60"/>
      <c r="EG97" s="86">
        <v>46311</v>
      </c>
    </row>
    <row r="98" spans="65:137" ht="15">
      <c r="BM98" t="str">
        <f t="shared" si="1"/>
        <v/>
      </c>
      <c r="CI98" s="19">
        <v>46312</v>
      </c>
      <c r="CJ98" s="49">
        <v>32</v>
      </c>
      <c r="CK98" s="87">
        <f>AI36</f>
        <v>1</v>
      </c>
      <c r="CL98" s="49">
        <f>DE97</f>
        <v>2596.2966211025837</v>
      </c>
      <c r="CM98" s="42">
        <f t="shared" si="4"/>
        <v>8.3500181462286776</v>
      </c>
      <c r="CN98" s="43">
        <f>CZ97</f>
        <v>1178.2116769746747</v>
      </c>
      <c r="CO98" s="6">
        <f>IF($BR$8="",0,IF($BR$8="C",CK98*$BR$7,IF($BR$8=4,DM98,IF($BR$8=5,DN98,IF($BR$8=7,DO98,IF($BR$8=10,DP98,IF($BR$8=14,DQ98,"")))))))</f>
        <v>0</v>
      </c>
      <c r="CP98" s="65">
        <f>CN98*CO98*CP$54</f>
        <v>0</v>
      </c>
      <c r="CQ98" s="69" t="str">
        <f>IF(CO97&gt;0,CN98*CO97*CQ$54,"")</f>
        <v/>
      </c>
      <c r="CR98" s="69" t="str">
        <f>IF(CO96&gt;0,CN98*CO96*CR$54,"")</f>
        <v/>
      </c>
      <c r="CS98" s="69" t="str">
        <f>IF(CO95&gt;0,CN95*CO95*CS$54,"")</f>
        <v/>
      </c>
      <c r="CT98" s="69" t="str">
        <f>IF(CO94&gt;0,CN94*CO94*CT$54,"")</f>
        <v/>
      </c>
      <c r="CU98" s="46">
        <f>CN98-SUM(CP98:CT98)</f>
        <v>1178.2116769746747</v>
      </c>
      <c r="CV98" s="47">
        <f>DB97</f>
        <v>1480.9427765926748</v>
      </c>
      <c r="CW98" s="47">
        <f>CU98/CM98</f>
        <v>141.10288820232316</v>
      </c>
      <c r="CX98" s="47">
        <f>CW86</f>
        <v>114.75738559907565</v>
      </c>
      <c r="CY98" s="47">
        <f>(CX98*$BS$41)-CX98</f>
        <v>45.902954239630262</v>
      </c>
      <c r="CZ98" s="49">
        <f>CU98-CW98+CX98+CY98</f>
        <v>1197.7691286110573</v>
      </c>
      <c r="DA98" s="49">
        <f>CZ98-CN98</f>
        <v>19.557451636382666</v>
      </c>
      <c r="DB98" s="47">
        <f>IF(DB97&lt;2,0,CV98-CX98+CW98)</f>
        <v>1507.2882791959223</v>
      </c>
      <c r="DC98" s="49">
        <f>DB98-CV98</f>
        <v>26.345502603247496</v>
      </c>
      <c r="DD98" s="50">
        <f>(CN98+CX98*12)*0.025</f>
        <v>63.882507604089568</v>
      </c>
      <c r="DE98" s="49">
        <f>CZ98+DB98-DD98</f>
        <v>2641.1749002028901</v>
      </c>
      <c r="DF98" s="50">
        <f t="shared" ref="DF98" si="12">DD98</f>
        <v>63.882507604089568</v>
      </c>
      <c r="DG98" s="51" t="e">
        <f>IF(CO97&gt;0,CP97+CQ98+CL97*0.025,NA())</f>
        <v>#N/A</v>
      </c>
      <c r="DH98" s="52"/>
      <c r="DI98" s="53" t="str">
        <f t="shared" si="7"/>
        <v/>
      </c>
      <c r="DJ98" s="54">
        <f>(CL98-CL97)/CL97</f>
        <v>1.7312038308130471E-2</v>
      </c>
      <c r="DK98" s="70"/>
      <c r="DL98" s="55">
        <v>44</v>
      </c>
      <c r="DM98" s="6"/>
      <c r="DN98" s="6"/>
      <c r="DO98" s="6"/>
      <c r="DP98" s="6"/>
      <c r="DQ98" s="6"/>
      <c r="DR98" s="21" t="e">
        <f>IF(CO98=0,NA(),1)</f>
        <v>#N/A</v>
      </c>
      <c r="DS98" s="57">
        <v>5</v>
      </c>
      <c r="DT98" s="58">
        <f>DS98*4500</f>
        <v>22500</v>
      </c>
      <c r="DU98" s="57">
        <v>20</v>
      </c>
      <c r="DV98" s="57">
        <f>DU98*1800</f>
        <v>36000</v>
      </c>
      <c r="DW98" s="59">
        <f>5*LN(DV98/DT98)+6</f>
        <v>8.3500181462286776</v>
      </c>
      <c r="DX98" s="60">
        <f>DX97-0.1</f>
        <v>0.60000000000000098</v>
      </c>
      <c r="DY98" s="61">
        <f>DX98*4500</f>
        <v>2700.0000000000045</v>
      </c>
      <c r="DZ98" s="68">
        <f>DZ97-0.21</f>
        <v>10.759999999999962</v>
      </c>
      <c r="EA98" s="68">
        <f>EA97+5</f>
        <v>2020</v>
      </c>
      <c r="EB98" s="61">
        <f>DZ98*EA98</f>
        <v>21735.199999999924</v>
      </c>
      <c r="EC98" s="61">
        <f>IF(DY98=0,NA(),EB98/DY98)</f>
        <v>8.0500740740740326</v>
      </c>
      <c r="ED98" s="60">
        <f>5*LN(EB98/DY98)+7.6</f>
        <v>18.028406465682316</v>
      </c>
      <c r="EE98" s="63" t="s">
        <v>45</v>
      </c>
      <c r="EF98" s="60"/>
      <c r="EG98" s="86">
        <v>46312</v>
      </c>
    </row>
    <row r="99" spans="65:137" ht="15">
      <c r="CI99" s="19">
        <v>46313</v>
      </c>
      <c r="CJ99" s="49">
        <v>33</v>
      </c>
      <c r="CK99" s="87">
        <f>AJ36</f>
        <v>0</v>
      </c>
      <c r="CL99" s="49">
        <f>DE98</f>
        <v>2641.1749002028901</v>
      </c>
      <c r="CM99" s="42">
        <f t="shared" si="4"/>
        <v>8.3500181462286776</v>
      </c>
      <c r="CN99" s="43">
        <f>CZ98</f>
        <v>1197.7691286110573</v>
      </c>
      <c r="CO99" s="6">
        <f t="shared" ref="CO99:CO126" si="13">IF($BR$8="",0,IF($BR$8="C",CK99*$BR$7,IF($BR$8=4,DM99,IF($BR$8=5,DN99,IF($BR$8=7,DO99,IF($BR$8=10,DP99,IF($BR$8=14,DQ99,"")))))))</f>
        <v>0</v>
      </c>
      <c r="CP99" s="65">
        <f>CN99*CO99*CP$54</f>
        <v>0</v>
      </c>
      <c r="CQ99" s="69" t="str">
        <f>IF(CO98&gt;0,CN99*CO98*CQ$54,"")</f>
        <v/>
      </c>
      <c r="CR99" s="69" t="str">
        <f>IF(CO97&gt;0,CN99*CO97*CR$54,"")</f>
        <v/>
      </c>
      <c r="CS99" s="69" t="str">
        <f>IF(CO96&gt;0,CN96*CO96*CS$54,"")</f>
        <v/>
      </c>
      <c r="CT99" s="69" t="str">
        <f>IF(CO95&gt;0,CN95*CO95*CT$54,"")</f>
        <v/>
      </c>
      <c r="CU99" s="46">
        <f>CN99-SUM(CP99:CT99)</f>
        <v>1197.7691286110573</v>
      </c>
      <c r="CV99" s="47">
        <f>DB98</f>
        <v>1507.2882791959223</v>
      </c>
      <c r="CW99" s="47">
        <f>CU99/CM99</f>
        <v>143.4450928890538</v>
      </c>
      <c r="CX99" s="47">
        <f>CW87</f>
        <v>116.6411520045978</v>
      </c>
      <c r="CY99" s="47">
        <f>(CX99*$BS$41)-CX99</f>
        <v>46.656460801839117</v>
      </c>
      <c r="CZ99" s="49">
        <f>CU99-CW99+CX99+CY99</f>
        <v>1217.6216485284406</v>
      </c>
      <c r="DA99" s="49">
        <f>CZ99-CN99</f>
        <v>19.852519917383233</v>
      </c>
      <c r="DB99" s="47">
        <f>IF(DB98&lt;2,0,CV99-CX99+CW99)</f>
        <v>1534.0922200803782</v>
      </c>
      <c r="DC99" s="49">
        <f>DB99-CV99</f>
        <v>26.803940884455869</v>
      </c>
      <c r="DD99" s="50">
        <f>(CN99+CX99*12)*0.025</f>
        <v>64.93657381665578</v>
      </c>
      <c r="DE99" s="49">
        <f>CZ99+DB99-DD99</f>
        <v>2686.777294792163</v>
      </c>
      <c r="DF99" s="50"/>
      <c r="DG99" s="51" t="e">
        <f>IF(CO98&gt;0,CP98+CQ99+CL98*0.025,NA())</f>
        <v>#N/A</v>
      </c>
      <c r="DH99" s="52"/>
      <c r="DI99" s="53" t="str">
        <f t="shared" si="7"/>
        <v/>
      </c>
      <c r="DJ99" s="54">
        <f>(CL99-CL98)/CL98</f>
        <v>1.7285497633643902E-2</v>
      </c>
      <c r="DK99" s="41"/>
      <c r="DL99" s="55">
        <v>45</v>
      </c>
      <c r="DM99" s="6">
        <f>$BR$7</f>
        <v>0.95</v>
      </c>
      <c r="DN99" s="6"/>
      <c r="DO99" s="6"/>
      <c r="DP99" s="6"/>
      <c r="DQ99" s="88"/>
      <c r="DR99" s="21" t="e">
        <f>IF(CO99=0,NA(),1)</f>
        <v>#N/A</v>
      </c>
      <c r="DS99" s="57">
        <v>5</v>
      </c>
      <c r="DT99" s="58">
        <f>DS99*4500</f>
        <v>22500</v>
      </c>
      <c r="DU99" s="57">
        <v>20</v>
      </c>
      <c r="DV99" s="57">
        <f>DU99*1800</f>
        <v>36000</v>
      </c>
      <c r="DW99" s="59">
        <f>5*LN(DV99/DT99)+6</f>
        <v>8.3500181462286776</v>
      </c>
      <c r="DX99" s="60">
        <f>DX98-0.1</f>
        <v>0.500000000000001</v>
      </c>
      <c r="DY99" s="61">
        <f>DX99*4500</f>
        <v>2250.0000000000045</v>
      </c>
      <c r="DZ99" s="68">
        <f>DZ98-0.21</f>
        <v>10.549999999999962</v>
      </c>
      <c r="EA99" s="68">
        <f>EA98+5</f>
        <v>2025</v>
      </c>
      <c r="EB99" s="61">
        <f>DZ99*EA99</f>
        <v>21363.749999999924</v>
      </c>
      <c r="EC99" s="61">
        <f>IF(DY99=0,NA(),EB99/DY99)</f>
        <v>9.4949999999999477</v>
      </c>
      <c r="ED99" s="60">
        <f>5*LN(EB99/DY99)+7.6</f>
        <v>18.853826721321219</v>
      </c>
      <c r="EE99" s="89" t="s">
        <v>54</v>
      </c>
      <c r="EF99" s="90">
        <v>1</v>
      </c>
      <c r="EG99" s="86">
        <v>46313</v>
      </c>
    </row>
    <row r="100" spans="65:137" ht="15">
      <c r="CI100" s="19">
        <v>46314</v>
      </c>
      <c r="CJ100" s="49">
        <v>34</v>
      </c>
      <c r="CK100" s="87">
        <f>AK36</f>
        <v>0</v>
      </c>
      <c r="CL100" s="49">
        <f>DE99</f>
        <v>2686.777294792163</v>
      </c>
      <c r="CM100" s="42">
        <f t="shared" si="4"/>
        <v>8.3500181462286776</v>
      </c>
      <c r="CN100" s="43">
        <f>CZ99</f>
        <v>1217.6216485284406</v>
      </c>
      <c r="CO100" s="6">
        <f t="shared" si="13"/>
        <v>0</v>
      </c>
      <c r="CP100" s="65">
        <f>CN100*CO100*CP$54</f>
        <v>0</v>
      </c>
      <c r="CQ100" s="69" t="str">
        <f>IF(CO99&gt;0,CN100*CO99*CQ$54,"")</f>
        <v/>
      </c>
      <c r="CR100" s="69" t="str">
        <f>IF(CO98&gt;0,CN100*CO98*CR$54,"")</f>
        <v/>
      </c>
      <c r="CS100" s="69" t="str">
        <f>IF(CO97&gt;0,CN97*CO97*CS$54,"")</f>
        <v/>
      </c>
      <c r="CT100" s="69" t="str">
        <f>IF(CO96&gt;0,CN96*CO96*CT$54,"")</f>
        <v/>
      </c>
      <c r="CU100" s="46">
        <f>CN100-SUM(CP100:CT100)</f>
        <v>1217.6216485284406</v>
      </c>
      <c r="CV100" s="47">
        <f>DB99</f>
        <v>1534.0922200803782</v>
      </c>
      <c r="CW100" s="47">
        <f>CU100/CM100</f>
        <v>145.82263501767176</v>
      </c>
      <c r="CX100" s="47">
        <f>CW88</f>
        <v>118.60778708734871</v>
      </c>
      <c r="CY100" s="47">
        <f>(CX100*$BS$41)-CX100</f>
        <v>47.443114834939465</v>
      </c>
      <c r="CZ100" s="49">
        <f>CU100-CW100+CX100+CY100</f>
        <v>1237.849915433057</v>
      </c>
      <c r="DA100" s="49">
        <f>CZ100-CN100</f>
        <v>20.228266904616476</v>
      </c>
      <c r="DB100" s="47">
        <f>IF(DB99&lt;2,0,CV100-CX100+CW100)</f>
        <v>1561.3070680107012</v>
      </c>
      <c r="DC100" s="49">
        <f>DB100-CV100</f>
        <v>27.214847930323003</v>
      </c>
      <c r="DD100" s="50">
        <f>(CN100+CX100*12)*0.025</f>
        <v>66.022877339415629</v>
      </c>
      <c r="DE100" s="49">
        <f>CZ100+DB100-DD100</f>
        <v>2733.1341061043427</v>
      </c>
      <c r="DF100" s="50">
        <f t="shared" ref="DF100" si="14">DD100</f>
        <v>66.022877339415629</v>
      </c>
      <c r="DG100" s="51" t="e">
        <f>IF(CO99&gt;0,CP99+CQ100+CL99*0.025,NA())</f>
        <v>#N/A</v>
      </c>
      <c r="DH100" s="52"/>
      <c r="DI100" s="53" t="str">
        <f t="shared" si="7"/>
        <v/>
      </c>
      <c r="DJ100" s="54">
        <f>(CL100-CL99)/CL99</f>
        <v>1.7265950310890014E-2</v>
      </c>
      <c r="DK100" s="70"/>
      <c r="DL100" s="55">
        <v>46</v>
      </c>
      <c r="DM100" s="6"/>
      <c r="DN100" s="6"/>
      <c r="DO100" s="88"/>
      <c r="DP100" s="88"/>
      <c r="DQ100" s="6"/>
      <c r="DR100" s="21" t="e">
        <f>IF(CO100=0,NA(),1)</f>
        <v>#N/A</v>
      </c>
      <c r="DS100" s="57">
        <v>5</v>
      </c>
      <c r="DT100" s="58">
        <f>DS100*4500</f>
        <v>22500</v>
      </c>
      <c r="DU100" s="57">
        <v>20</v>
      </c>
      <c r="DV100" s="57">
        <f>DU100*1800</f>
        <v>36000</v>
      </c>
      <c r="DW100" s="59">
        <f>5*LN(DV100/DT100)+6</f>
        <v>8.3500181462286776</v>
      </c>
      <c r="DX100" s="60">
        <f>DX99-0.1</f>
        <v>0.40000000000000102</v>
      </c>
      <c r="DY100" s="61">
        <f>DX100*4500</f>
        <v>1800.0000000000045</v>
      </c>
      <c r="DZ100" s="68">
        <f>DZ99-0.21</f>
        <v>10.339999999999961</v>
      </c>
      <c r="EA100" s="68">
        <f>EA99+5</f>
        <v>2030</v>
      </c>
      <c r="EB100" s="61">
        <f>DZ100*EA100</f>
        <v>20990.199999999921</v>
      </c>
      <c r="EC100" s="61">
        <f>IF(DY100=0,NA(),EB100/DY100)</f>
        <v>11.661222222222149</v>
      </c>
      <c r="ED100" s="60">
        <f>5*LN(EB100/DY100)+7.6</f>
        <v>19.88134498615927</v>
      </c>
      <c r="EE100" s="89" t="s">
        <v>54</v>
      </c>
      <c r="EF100" s="90">
        <v>2</v>
      </c>
      <c r="EG100" s="86">
        <v>46314</v>
      </c>
    </row>
    <row r="101" spans="65:137" ht="15">
      <c r="CI101" s="19">
        <v>46315</v>
      </c>
      <c r="CJ101" s="49">
        <v>35</v>
      </c>
      <c r="CK101" s="87">
        <f>AL36</f>
        <v>0</v>
      </c>
      <c r="CL101" s="49">
        <f>DE100</f>
        <v>2733.1341061043427</v>
      </c>
      <c r="CM101" s="42">
        <f t="shared" si="4"/>
        <v>8.3500181462286776</v>
      </c>
      <c r="CN101" s="43">
        <f>CZ100</f>
        <v>1237.849915433057</v>
      </c>
      <c r="CO101" s="6">
        <f t="shared" si="13"/>
        <v>0</v>
      </c>
      <c r="CP101" s="65">
        <f>CN101*CO101*CP$54</f>
        <v>0</v>
      </c>
      <c r="CQ101" s="69" t="str">
        <f>IF(CO100&gt;0,CN101*CO100*CQ$54,"")</f>
        <v/>
      </c>
      <c r="CR101" s="69" t="str">
        <f>IF(CO99&gt;0,CN101*CO99*CR$54,"")</f>
        <v/>
      </c>
      <c r="CS101" s="69" t="str">
        <f>IF(CO98&gt;0,CN98*CO98*CS$54,"")</f>
        <v/>
      </c>
      <c r="CT101" s="69" t="str">
        <f>IF(CO97&gt;0,CN97*CO97*CT$54,"")</f>
        <v/>
      </c>
      <c r="CU101" s="46">
        <f>CN101-SUM(CP101:CT101)</f>
        <v>1237.849915433057</v>
      </c>
      <c r="CV101" s="47">
        <f>DB100</f>
        <v>1561.3070680107012</v>
      </c>
      <c r="CW101" s="47">
        <f>CU101/CM101</f>
        <v>148.2451766876863</v>
      </c>
      <c r="CX101" s="47">
        <f>CW89</f>
        <v>120.65665539972241</v>
      </c>
      <c r="CY101" s="47">
        <f>(CX101*$BS$41)-CX101</f>
        <v>48.262662159888947</v>
      </c>
      <c r="CZ101" s="49">
        <f>CU101-CW101+CX101+CY101</f>
        <v>1258.5240563049822</v>
      </c>
      <c r="DA101" s="49">
        <f>CZ101-CN101</f>
        <v>20.674140871925147</v>
      </c>
      <c r="DB101" s="47">
        <f>IF(DB100&lt;2,0,CV101-CX101+CW101)</f>
        <v>1588.8955892986651</v>
      </c>
      <c r="DC101" s="49">
        <f>DB101-CV101</f>
        <v>27.588521287963886</v>
      </c>
      <c r="DD101" s="50">
        <f>(CN101+CX101*12)*0.025</f>
        <v>67.143244505743155</v>
      </c>
      <c r="DE101" s="49">
        <f>CZ101+DB101-DD101</f>
        <v>2780.276401097904</v>
      </c>
      <c r="DF101" s="50"/>
      <c r="DG101" s="51" t="e">
        <f>IF(CO100&gt;0,CP100+CQ101+CL100*0.025,NA())</f>
        <v>#N/A</v>
      </c>
      <c r="DH101" s="52"/>
      <c r="DI101" s="53" t="str">
        <f t="shared" si="7"/>
        <v/>
      </c>
      <c r="DJ101" s="54">
        <f>(CL101-CL100)/CL100</f>
        <v>1.7253685819823623E-2</v>
      </c>
      <c r="DK101" s="70"/>
      <c r="DL101" s="55">
        <v>47</v>
      </c>
      <c r="DM101" s="6"/>
      <c r="DN101" s="6">
        <f>$BR$7</f>
        <v>0.95</v>
      </c>
      <c r="DO101" s="6"/>
      <c r="DP101" s="6"/>
      <c r="DQ101" s="88"/>
      <c r="DR101" s="21" t="e">
        <f>IF(CO101=0,NA(),1)</f>
        <v>#N/A</v>
      </c>
      <c r="DS101" s="57">
        <v>5</v>
      </c>
      <c r="DT101" s="58">
        <f>DS101*4500</f>
        <v>22500</v>
      </c>
      <c r="DU101" s="57">
        <v>20</v>
      </c>
      <c r="DV101" s="57">
        <f>DU101*1800</f>
        <v>36000</v>
      </c>
      <c r="DW101" s="59">
        <f>5*LN(DV101/DT101)+6</f>
        <v>8.3500181462286776</v>
      </c>
      <c r="DX101" s="60">
        <f>DX100-0.1</f>
        <v>0.30000000000000104</v>
      </c>
      <c r="DY101" s="61">
        <f>DX101*4500</f>
        <v>1350.0000000000048</v>
      </c>
      <c r="DZ101" s="68">
        <f>DZ100-0.21</f>
        <v>10.12999999999996</v>
      </c>
      <c r="EA101" s="68">
        <f>EA100+5</f>
        <v>2035</v>
      </c>
      <c r="EB101" s="61">
        <f>DZ101*EA101</f>
        <v>20614.549999999919</v>
      </c>
      <c r="EC101" s="61">
        <f>IF(DY101=0,NA(),EB101/DY101)</f>
        <v>15.270037037036923</v>
      </c>
      <c r="ED101" s="60">
        <f>5*LN(EB101/DY101)+7.6</f>
        <v>21.229462723524023</v>
      </c>
      <c r="EE101" s="89" t="s">
        <v>54</v>
      </c>
      <c r="EF101" s="90">
        <v>3</v>
      </c>
      <c r="EG101" s="86">
        <v>46315</v>
      </c>
    </row>
    <row r="102" spans="65:137" ht="15">
      <c r="CI102" s="19">
        <v>46316</v>
      </c>
      <c r="CJ102" s="49">
        <v>36</v>
      </c>
      <c r="CK102" s="87">
        <f>AM36</f>
        <v>0</v>
      </c>
      <c r="CL102" s="49">
        <f>DE101</f>
        <v>2780.276401097904</v>
      </c>
      <c r="CM102" s="42">
        <f t="shared" si="4"/>
        <v>8.3500181462286776</v>
      </c>
      <c r="CN102" s="43">
        <f>CZ101</f>
        <v>1258.5240563049822</v>
      </c>
      <c r="CO102" s="6">
        <f t="shared" si="13"/>
        <v>0</v>
      </c>
      <c r="CP102" s="65">
        <f>CN102*CO102*CP$54</f>
        <v>0</v>
      </c>
      <c r="CQ102" s="69" t="str">
        <f>IF(CO101&gt;0,CN102*CO101*CQ$54,"")</f>
        <v/>
      </c>
      <c r="CR102" s="69" t="str">
        <f>IF(CO100&gt;0,CN102*CO100*CR$54,"")</f>
        <v/>
      </c>
      <c r="CS102" s="69" t="str">
        <f>IF(CO99&gt;0,CN99*CO99*CS$54,"")</f>
        <v/>
      </c>
      <c r="CT102" s="69" t="str">
        <f>IF(CO98&gt;0,CN98*CO98*CT$54,"")</f>
        <v/>
      </c>
      <c r="CU102" s="46">
        <f>CN102-SUM(CP102:CT102)</f>
        <v>1258.5240563049822</v>
      </c>
      <c r="CV102" s="47">
        <f>DB101</f>
        <v>1588.8955892986651</v>
      </c>
      <c r="CW102" s="47">
        <f>CU102/CM102</f>
        <v>150.72111632157353</v>
      </c>
      <c r="CX102" s="47">
        <f>CW90</f>
        <v>122.78539837549368</v>
      </c>
      <c r="CY102" s="47">
        <f>(CX102*$BS$41)-CX102</f>
        <v>49.114159350197468</v>
      </c>
      <c r="CZ102" s="49">
        <f>CU102-CW102+CX102+CY102</f>
        <v>1279.7024977090998</v>
      </c>
      <c r="DA102" s="49">
        <f>CZ102-CN102</f>
        <v>21.178441404117621</v>
      </c>
      <c r="DB102" s="47">
        <f>IF(DB101&lt;2,0,CV102-CX102+CW102)</f>
        <v>1616.8313072447449</v>
      </c>
      <c r="DC102" s="49">
        <f>DB102-CV102</f>
        <v>27.935717946079876</v>
      </c>
      <c r="DD102" s="50">
        <f>(CN102+CX102*12)*0.025</f>
        <v>68.298720920272658</v>
      </c>
      <c r="DE102" s="49">
        <f>CZ102+DB102-DD102</f>
        <v>2828.2350840335725</v>
      </c>
      <c r="DF102" s="50">
        <f t="shared" ref="DF102" si="15">DD102</f>
        <v>68.298720920272658</v>
      </c>
      <c r="DG102" s="51" t="e">
        <f>IF(CO101&gt;0,CP101+CQ102+CL101*0.025,NA())</f>
        <v>#N/A</v>
      </c>
      <c r="DH102" s="52"/>
      <c r="DI102" s="53" t="str">
        <f t="shared" si="7"/>
        <v/>
      </c>
      <c r="DJ102" s="54">
        <f>(CL102-CL101)/CL101</f>
        <v>1.7248438299559087E-2</v>
      </c>
      <c r="DK102" s="41">
        <f>CL102</f>
        <v>2780.276401097904</v>
      </c>
      <c r="DL102" s="55">
        <v>48</v>
      </c>
      <c r="DM102" s="6"/>
      <c r="DN102" s="6"/>
      <c r="DO102" s="6">
        <f>$BR$7</f>
        <v>0.95</v>
      </c>
      <c r="DP102" s="88"/>
      <c r="DQ102" s="6"/>
      <c r="DR102" s="21" t="e">
        <f>IF(CO102=0,NA(),1)</f>
        <v>#N/A</v>
      </c>
      <c r="DS102" s="57">
        <v>5</v>
      </c>
      <c r="DT102" s="58">
        <f>DS102*4500</f>
        <v>22500</v>
      </c>
      <c r="DU102" s="57">
        <v>20</v>
      </c>
      <c r="DV102" s="57">
        <f>DU102*1800</f>
        <v>36000</v>
      </c>
      <c r="DW102" s="59">
        <f>5*LN(DV102/DT102)+6</f>
        <v>8.3500181462286776</v>
      </c>
      <c r="DX102" s="60">
        <f>DX101-0.1</f>
        <v>0.20000000000000104</v>
      </c>
      <c r="DY102" s="61">
        <f>DX102*4500</f>
        <v>900.00000000000466</v>
      </c>
      <c r="DZ102" s="68">
        <v>10</v>
      </c>
      <c r="EA102" s="68">
        <f>EA101+5</f>
        <v>2040</v>
      </c>
      <c r="EB102" s="61">
        <f>DZ102*EA102</f>
        <v>20400</v>
      </c>
      <c r="EC102" s="61">
        <f>IF(DY102=0,NA(),EB102/DY102)</f>
        <v>22.666666666666551</v>
      </c>
      <c r="ED102" s="60">
        <f>5*LN(EB102/DY102)+7.6</f>
        <v>23.20447708253996</v>
      </c>
      <c r="EE102" s="89" t="s">
        <v>54</v>
      </c>
      <c r="EF102" s="90">
        <v>4</v>
      </c>
      <c r="EG102" s="86">
        <v>46316</v>
      </c>
    </row>
    <row r="103" spans="65:137" ht="15">
      <c r="CI103" s="19">
        <v>46317</v>
      </c>
      <c r="CJ103" s="49">
        <v>37</v>
      </c>
      <c r="CK103" s="87">
        <f>AN36</f>
        <v>0</v>
      </c>
      <c r="CL103" s="49">
        <f>DE102</f>
        <v>2828.2350840335725</v>
      </c>
      <c r="CM103" s="42">
        <f t="shared" si="4"/>
        <v>8.3500181462286776</v>
      </c>
      <c r="CN103" s="43">
        <f>CZ102</f>
        <v>1279.7024977090998</v>
      </c>
      <c r="CO103" s="6">
        <f t="shared" si="13"/>
        <v>0</v>
      </c>
      <c r="CP103" s="65">
        <f>CN103*CO103*CP$54</f>
        <v>0</v>
      </c>
      <c r="CQ103" s="69" t="str">
        <f>IF(CO102&gt;0,CN103*CO102*CQ$54,"")</f>
        <v/>
      </c>
      <c r="CR103" s="69" t="str">
        <f>IF(CO101&gt;0,CN103*CO101*CR$54,"")</f>
        <v/>
      </c>
      <c r="CS103" s="69" t="str">
        <f>IF(CO100&gt;0,CN100*CO100*CS$54,"")</f>
        <v/>
      </c>
      <c r="CT103" s="69" t="str">
        <f>IF(CO99&gt;0,CN99*CO99*CT$54,"")</f>
        <v/>
      </c>
      <c r="CU103" s="46">
        <f>CN103-SUM(CP103:CT103)</f>
        <v>1279.7024977090998</v>
      </c>
      <c r="CV103" s="47">
        <f>DB102</f>
        <v>1616.8313072447449</v>
      </c>
      <c r="CW103" s="47">
        <f>CU103/CM103</f>
        <v>153.25745109752643</v>
      </c>
      <c r="CX103" s="47">
        <f>CW91</f>
        <v>124.99068020114956</v>
      </c>
      <c r="CY103" s="47">
        <f>(CX103*$BS$41)-CX103</f>
        <v>49.996272080459818</v>
      </c>
      <c r="CZ103" s="49">
        <f>CU103-CW103+CX103+CY103</f>
        <v>1301.4319988931829</v>
      </c>
      <c r="DA103" s="49">
        <f>CZ103-CN103</f>
        <v>21.729501184083119</v>
      </c>
      <c r="DB103" s="47">
        <f>IF(DB102&lt;2,0,CV103-CX103+CW103)</f>
        <v>1645.0980781411217</v>
      </c>
      <c r="DC103" s="49">
        <f>DB103-CV103</f>
        <v>28.266770896376784</v>
      </c>
      <c r="DD103" s="50">
        <f>(CN103+CX103*12)*0.025</f>
        <v>69.48976650307236</v>
      </c>
      <c r="DE103" s="49">
        <f>CZ103+DB103-DD103</f>
        <v>2877.0403105312325</v>
      </c>
      <c r="DF103" s="50"/>
      <c r="DG103" s="51" t="e">
        <f>IF(CO102&gt;0,CP102+CQ103+CL102*0.025,NA())</f>
        <v>#N/A</v>
      </c>
      <c r="DH103" s="52"/>
      <c r="DI103" s="53" t="str">
        <f t="shared" si="7"/>
        <v/>
      </c>
      <c r="DJ103" s="54">
        <f>(CL103-CL102)/CL102</f>
        <v>1.7249609757047944E-2</v>
      </c>
      <c r="DK103" s="70"/>
      <c r="DL103" s="55">
        <v>49</v>
      </c>
      <c r="DM103" s="6">
        <f>$BR$7</f>
        <v>0.95</v>
      </c>
      <c r="DN103" s="6"/>
      <c r="DO103" s="6"/>
      <c r="DP103" s="6"/>
      <c r="DQ103" s="6"/>
      <c r="DR103" s="21" t="e">
        <f>IF(CO103=0,NA(),1)</f>
        <v>#N/A</v>
      </c>
      <c r="DS103" s="57">
        <v>5</v>
      </c>
      <c r="DT103" s="58">
        <f>DS103*4500</f>
        <v>22500</v>
      </c>
      <c r="DU103" s="57">
        <v>20</v>
      </c>
      <c r="DV103" s="57">
        <f>DU103*1800</f>
        <v>36000</v>
      </c>
      <c r="DW103" s="59">
        <f>5*LN(DV103/DT103)+6</f>
        <v>8.3500181462286776</v>
      </c>
      <c r="DX103" s="60">
        <f>DX102-0.1</f>
        <v>0.10000000000000103</v>
      </c>
      <c r="DY103" s="61">
        <f>DX103*4500</f>
        <v>450.00000000000466</v>
      </c>
      <c r="DZ103" s="68">
        <v>10</v>
      </c>
      <c r="EA103" s="68">
        <f>EA102+5</f>
        <v>2045</v>
      </c>
      <c r="EB103" s="61">
        <v>20000</v>
      </c>
      <c r="EC103" s="61">
        <f>IF(DY103=0,NA(),EB103/DY103)</f>
        <v>44.444444444443981</v>
      </c>
      <c r="ED103" s="60">
        <f>5*LN(EB103/DY103)+7.6</f>
        <v>26.571199848858761</v>
      </c>
      <c r="EE103" s="89" t="s">
        <v>54</v>
      </c>
      <c r="EF103" s="90">
        <v>5</v>
      </c>
      <c r="EG103" s="86">
        <v>46317</v>
      </c>
    </row>
    <row r="104" spans="65:137" ht="15">
      <c r="CI104" s="19">
        <v>46318</v>
      </c>
      <c r="CJ104" s="49">
        <v>38</v>
      </c>
      <c r="CK104" s="87">
        <f>AO36</f>
        <v>0</v>
      </c>
      <c r="CL104" s="49">
        <f>DE103</f>
        <v>2877.0403105312325</v>
      </c>
      <c r="CM104" s="42">
        <f t="shared" si="4"/>
        <v>8.3500181462286776</v>
      </c>
      <c r="CN104" s="43">
        <f>CZ103</f>
        <v>1301.4319988931829</v>
      </c>
      <c r="CO104" s="6">
        <f t="shared" si="13"/>
        <v>0</v>
      </c>
      <c r="CP104" s="65">
        <f>CN104*CO104*CP$54</f>
        <v>0</v>
      </c>
      <c r="CQ104" s="69" t="str">
        <f>IF(CO103&gt;0,CN104*CO103*CQ$54,"")</f>
        <v/>
      </c>
      <c r="CR104" s="69" t="str">
        <f>IF(CO102&gt;0,CN104*CO102*CR$54,"")</f>
        <v/>
      </c>
      <c r="CS104" s="69" t="str">
        <f>IF(CO101&gt;0,CN101*CO101*CS$54,"")</f>
        <v/>
      </c>
      <c r="CT104" s="69" t="str">
        <f>IF(CO100&gt;0,CN100*CO100*CT$54,"")</f>
        <v/>
      </c>
      <c r="CU104" s="46">
        <f>CN104-SUM(CP104:CT104)</f>
        <v>1301.4319988931829</v>
      </c>
      <c r="CV104" s="47">
        <f>DB103</f>
        <v>1645.0980781411217</v>
      </c>
      <c r="CW104" s="47">
        <f>CU104/CM104</f>
        <v>155.85978091328823</v>
      </c>
      <c r="CX104" s="47">
        <f>CW92</f>
        <v>127.26871119854405</v>
      </c>
      <c r="CY104" s="47">
        <f>(CX104*$BS$41)-CX104</f>
        <v>50.907484479417604</v>
      </c>
      <c r="CZ104" s="49">
        <f>CU104-CW104+CX104+CY104</f>
        <v>1323.7484136578564</v>
      </c>
      <c r="DA104" s="49">
        <f>CZ104-CN104</f>
        <v>22.316414764673482</v>
      </c>
      <c r="DB104" s="47">
        <f>IF(DB103&lt;2,0,CV104-CX104+CW104)</f>
        <v>1673.6891478558659</v>
      </c>
      <c r="DC104" s="49">
        <f>DB104-CV104</f>
        <v>28.591069714744208</v>
      </c>
      <c r="DD104" s="50">
        <f>(CN104+CX104*12)*0.025</f>
        <v>70.716413331892795</v>
      </c>
      <c r="DE104" s="49">
        <f>CZ104+DB104-DD104</f>
        <v>2926.7211481818294</v>
      </c>
      <c r="DF104" s="50">
        <f t="shared" ref="DF104" si="16">DD104</f>
        <v>70.716413331892795</v>
      </c>
      <c r="DG104" s="51" t="e">
        <f>IF(CO103&gt;0,CP103+CQ104+CL103*0.025,NA())</f>
        <v>#N/A</v>
      </c>
      <c r="DH104" s="52">
        <f>IF($BR$5="F",315*CZ104/EB104,315*CZ104/DV104)</f>
        <v>11.582798619506244</v>
      </c>
      <c r="DI104" s="53" t="str">
        <f t="shared" si="7"/>
        <v/>
      </c>
      <c r="DJ104" s="54">
        <f>(CL104-CL103)/CL103</f>
        <v>1.7256424960281219E-2</v>
      </c>
      <c r="DK104" s="70"/>
      <c r="DL104" s="55">
        <v>50</v>
      </c>
      <c r="DM104" s="6"/>
      <c r="DN104" s="6"/>
      <c r="DO104" s="6"/>
      <c r="DP104" s="6"/>
      <c r="DQ104" s="88"/>
      <c r="DR104" s="21" t="e">
        <f>IF(CO104=0,NA(),1)</f>
        <v>#N/A</v>
      </c>
      <c r="DS104" s="57">
        <v>5</v>
      </c>
      <c r="DT104" s="58">
        <f>DS104*4500</f>
        <v>22500</v>
      </c>
      <c r="DU104" s="57">
        <v>20</v>
      </c>
      <c r="DV104" s="57">
        <f>DU104*1800</f>
        <v>36000</v>
      </c>
      <c r="DW104" s="59">
        <f>5*LN(DV104/DT104)+6</f>
        <v>8.3500181462286776</v>
      </c>
      <c r="DX104" s="60">
        <v>0.1</v>
      </c>
      <c r="DY104" s="61">
        <f>DX104*4500</f>
        <v>450</v>
      </c>
      <c r="DZ104" s="68">
        <v>10</v>
      </c>
      <c r="EA104" s="68">
        <f>EA103+5</f>
        <v>2050</v>
      </c>
      <c r="EB104" s="61">
        <v>20000</v>
      </c>
      <c r="EC104" s="61">
        <f>IF(DY104=0,NA(),EB104/DY104)</f>
        <v>44.444444444444443</v>
      </c>
      <c r="ED104" s="60">
        <f>5*LN(EB104/DY104)+7.6</f>
        <v>26.571199848858811</v>
      </c>
      <c r="EE104" s="89" t="s">
        <v>54</v>
      </c>
      <c r="EF104" s="90">
        <v>6</v>
      </c>
      <c r="EG104" s="86">
        <v>46318</v>
      </c>
    </row>
    <row r="105" spans="65:137" ht="15">
      <c r="CI105" s="19">
        <v>46319</v>
      </c>
      <c r="CJ105" s="49">
        <v>39</v>
      </c>
      <c r="CK105" s="87">
        <f>AP36</f>
        <v>0</v>
      </c>
      <c r="CL105" s="49">
        <f>DE104</f>
        <v>2926.7211481818294</v>
      </c>
      <c r="CM105" s="42">
        <f t="shared" si="4"/>
        <v>8.3500181462286776</v>
      </c>
      <c r="CN105" s="43">
        <f>CZ104</f>
        <v>1323.7484136578564</v>
      </c>
      <c r="CO105" s="6">
        <f t="shared" si="13"/>
        <v>0</v>
      </c>
      <c r="CP105" s="65">
        <f>CN105*CO105*CP$54</f>
        <v>0</v>
      </c>
      <c r="CQ105" s="69" t="str">
        <f>IF(CO104&gt;0,CN105*CO104*CQ$54,"")</f>
        <v/>
      </c>
      <c r="CR105" s="69" t="str">
        <f>IF(CO103&gt;0,CN105*CO103*CR$54,"")</f>
        <v/>
      </c>
      <c r="CS105" s="69" t="str">
        <f>IF(CO102&gt;0,CN102*CO102*CS$54,"")</f>
        <v/>
      </c>
      <c r="CT105" s="69" t="str">
        <f>IF(CO101&gt;0,CN101*CO101*CT$54,"")</f>
        <v/>
      </c>
      <c r="CU105" s="46">
        <f>CN105-SUM(CP105:CT105)</f>
        <v>1323.7484136578564</v>
      </c>
      <c r="CV105" s="47">
        <f>DB104</f>
        <v>1673.6891478558659</v>
      </c>
      <c r="CW105" s="47">
        <f>CU105/CM105</f>
        <v>158.53239962786586</v>
      </c>
      <c r="CX105" s="47">
        <f>CW93</f>
        <v>129.57289410781752</v>
      </c>
      <c r="CY105" s="47">
        <f>(CX105*$BS$41)-CX105</f>
        <v>51.82915764312699</v>
      </c>
      <c r="CZ105" s="49">
        <f>CU105-CW105+CX105+CY105</f>
        <v>1346.6180657809352</v>
      </c>
      <c r="DA105" s="49">
        <f>CZ105-CN105</f>
        <v>22.869652123078822</v>
      </c>
      <c r="DB105" s="47">
        <f>IF(DB104&lt;2,0,CV105-CX105+CW105)</f>
        <v>1702.6486533759144</v>
      </c>
      <c r="DC105" s="49">
        <f>DB105-CV105</f>
        <v>28.959505520048424</v>
      </c>
      <c r="DD105" s="50">
        <f>(CN105+CX105*12)*0.025</f>
        <v>71.96557857379166</v>
      </c>
      <c r="DE105" s="49">
        <f>CZ105+DB105-DD105</f>
        <v>2977.301140583058</v>
      </c>
      <c r="DF105" s="50"/>
      <c r="DG105" s="51" t="e">
        <f>IF(CO104&gt;0,CP104+CQ105+CL104*0.025,NA())</f>
        <v>#N/A</v>
      </c>
      <c r="DH105" s="52"/>
      <c r="DI105" s="53" t="str">
        <f t="shared" si="7"/>
        <v/>
      </c>
      <c r="DJ105" s="54">
        <f>(CL105-CL104)/CL104</f>
        <v>1.7268036693383546E-2</v>
      </c>
      <c r="DK105" s="41"/>
      <c r="DL105" s="55">
        <v>51</v>
      </c>
      <c r="DM105" s="6"/>
      <c r="DN105" s="6"/>
      <c r="DO105" s="6"/>
      <c r="DP105" s="6">
        <f>$BR$7</f>
        <v>0.95</v>
      </c>
      <c r="DQ105" s="6"/>
      <c r="DR105" s="21" t="e">
        <f>IF(CO105=0,NA(),1)</f>
        <v>#N/A</v>
      </c>
      <c r="DS105" s="57">
        <v>5</v>
      </c>
      <c r="DT105" s="58">
        <f>DS105*4500</f>
        <v>22500</v>
      </c>
      <c r="DU105" s="57">
        <v>20</v>
      </c>
      <c r="DV105" s="57">
        <f>DU105*1800</f>
        <v>36000</v>
      </c>
      <c r="DW105" s="59">
        <f>5*LN(DV105/DT105)+6</f>
        <v>8.3500181462286776</v>
      </c>
      <c r="DX105" s="60">
        <v>0.1</v>
      </c>
      <c r="DY105" s="61">
        <f>DX105*4500</f>
        <v>450</v>
      </c>
      <c r="DZ105" s="68">
        <v>10</v>
      </c>
      <c r="EA105" s="68">
        <f>EA104+5</f>
        <v>2055</v>
      </c>
      <c r="EB105" s="61">
        <v>20000</v>
      </c>
      <c r="EC105" s="61">
        <f>IF(DY105=0,NA(),EB105/DY105)</f>
        <v>44.444444444444443</v>
      </c>
      <c r="ED105" s="60">
        <f>5*LN(EB105/DY105)+7.6</f>
        <v>26.571199848858811</v>
      </c>
      <c r="EE105" s="89" t="s">
        <v>54</v>
      </c>
      <c r="EF105" s="90">
        <v>7</v>
      </c>
      <c r="EG105" s="86">
        <v>46319</v>
      </c>
    </row>
    <row r="106" spans="65:137" ht="15">
      <c r="CI106" s="19">
        <v>46320</v>
      </c>
      <c r="CJ106" s="49">
        <v>40</v>
      </c>
      <c r="CK106" s="87">
        <f>AQ36</f>
        <v>0</v>
      </c>
      <c r="CL106" s="49">
        <f>DE105</f>
        <v>2977.301140583058</v>
      </c>
      <c r="CM106" s="42">
        <f t="shared" si="4"/>
        <v>8.3500181462286776</v>
      </c>
      <c r="CN106" s="43">
        <f>CZ105</f>
        <v>1346.6180657809352</v>
      </c>
      <c r="CO106" s="6">
        <f t="shared" si="13"/>
        <v>0</v>
      </c>
      <c r="CP106" s="65">
        <f>CN106*CO106*CP$54</f>
        <v>0</v>
      </c>
      <c r="CQ106" s="69" t="str">
        <f>IF(CO105&gt;0,CN106*CO105*CQ$54,"")</f>
        <v/>
      </c>
      <c r="CR106" s="69" t="str">
        <f>IF(CO104&gt;0,CN106*CO104*CR$54,"")</f>
        <v/>
      </c>
      <c r="CS106" s="69" t="str">
        <f>IF(CO103&gt;0,CN103*CO103*CS$54,"")</f>
        <v/>
      </c>
      <c r="CT106" s="69" t="str">
        <f>IF(CO102&gt;0,CN102*CO102*CT$54,"")</f>
        <v/>
      </c>
      <c r="CU106" s="46">
        <f>CN106-SUM(CP106:CT106)</f>
        <v>1346.6180657809352</v>
      </c>
      <c r="CV106" s="47">
        <f>DB105</f>
        <v>1702.6486533759144</v>
      </c>
      <c r="CW106" s="47">
        <f>CU106/CM106</f>
        <v>161.27127416952277</v>
      </c>
      <c r="CX106" s="47">
        <f>CW94</f>
        <v>131.88012357502791</v>
      </c>
      <c r="CY106" s="47">
        <f>(CX106*$BS$41)-CX106</f>
        <v>52.752049430011141</v>
      </c>
      <c r="CZ106" s="49">
        <f>CU106-CW106+CX106+CY106</f>
        <v>1369.9789646164515</v>
      </c>
      <c r="DA106" s="49">
        <f>CZ106-CN106</f>
        <v>23.360898835516309</v>
      </c>
      <c r="DB106" s="47">
        <f>IF(DB105&lt;2,0,CV106-CX106+CW106)</f>
        <v>1732.0398039704091</v>
      </c>
      <c r="DC106" s="49">
        <f>DB106-CV106</f>
        <v>29.391150594494775</v>
      </c>
      <c r="DD106" s="50">
        <f>(CN106+CX106*12)*0.025</f>
        <v>73.229488717031742</v>
      </c>
      <c r="DE106" s="49">
        <f>CZ106+DB106-DD106</f>
        <v>3028.7892798698285</v>
      </c>
      <c r="DF106" s="50">
        <f t="shared" ref="DF106" si="17">DD106</f>
        <v>73.229488717031742</v>
      </c>
      <c r="DG106" s="51" t="e">
        <f>IF(CO105&gt;0,CP105+CQ106+CL105*0.025,NA())</f>
        <v>#N/A</v>
      </c>
      <c r="DH106" s="52"/>
      <c r="DI106" s="53" t="str">
        <f t="shared" si="7"/>
        <v/>
      </c>
      <c r="DJ106" s="54">
        <f>(CL106-CL105)/CL105</f>
        <v>1.7282135823787109E-2</v>
      </c>
      <c r="DK106" s="70"/>
      <c r="DL106" s="55">
        <v>52</v>
      </c>
      <c r="DM106" s="6"/>
      <c r="DN106" s="6">
        <f>$BR$7</f>
        <v>0.95</v>
      </c>
      <c r="DO106" s="6"/>
      <c r="DP106" s="6"/>
      <c r="DQ106" s="6"/>
      <c r="DR106" s="21" t="e">
        <f>IF(CO106=0,NA(),1)</f>
        <v>#N/A</v>
      </c>
      <c r="DS106" s="57">
        <v>5</v>
      </c>
      <c r="DT106" s="58">
        <f>DS106*4500</f>
        <v>22500</v>
      </c>
      <c r="DU106" s="57">
        <v>20</v>
      </c>
      <c r="DV106" s="57">
        <f>DU106*1800</f>
        <v>36000</v>
      </c>
      <c r="DW106" s="59">
        <f>5*LN(DV106/DT106)+6</f>
        <v>8.3500181462286776</v>
      </c>
      <c r="DX106" s="60">
        <v>0.1</v>
      </c>
      <c r="DY106" s="61">
        <f>DX106*4500</f>
        <v>450</v>
      </c>
      <c r="DZ106" s="68">
        <v>10</v>
      </c>
      <c r="EA106" s="68">
        <f>EA105+5</f>
        <v>2060</v>
      </c>
      <c r="EB106" s="61">
        <v>20000</v>
      </c>
      <c r="EC106" s="61">
        <f>IF(DY106=0,NA(),EB106/DY106)</f>
        <v>44.444444444444443</v>
      </c>
      <c r="ED106" s="60">
        <f>5*LN(EB106/DY106)+7.6</f>
        <v>26.571199848858811</v>
      </c>
      <c r="EE106" s="89" t="s">
        <v>54</v>
      </c>
      <c r="EF106" s="90">
        <v>8</v>
      </c>
      <c r="EG106" s="86">
        <v>46320</v>
      </c>
    </row>
    <row r="107" spans="65:137" ht="15">
      <c r="CI107" s="19">
        <v>46321</v>
      </c>
      <c r="CJ107" s="49">
        <v>41</v>
      </c>
      <c r="CK107" s="87">
        <f>AR36</f>
        <v>0</v>
      </c>
      <c r="CL107" s="49">
        <f>DE106</f>
        <v>3028.7892798698285</v>
      </c>
      <c r="CM107" s="42">
        <f t="shared" si="4"/>
        <v>8.3500181462286776</v>
      </c>
      <c r="CN107" s="43">
        <f>CZ106</f>
        <v>1369.9789646164515</v>
      </c>
      <c r="CO107" s="6">
        <f t="shared" si="13"/>
        <v>0</v>
      </c>
      <c r="CP107" s="65">
        <f>CN107*CO107*CP$54</f>
        <v>0</v>
      </c>
      <c r="CQ107" s="69" t="str">
        <f>IF(CO106&gt;0,CN107*CO106*CQ$54,"")</f>
        <v/>
      </c>
      <c r="CR107" s="69" t="str">
        <f>IF(CO105&gt;0,CN107*CO105*CR$54,"")</f>
        <v/>
      </c>
      <c r="CS107" s="69" t="str">
        <f>IF(CO104&gt;0,CN104*CO104*CS$54,"")</f>
        <v/>
      </c>
      <c r="CT107" s="69" t="str">
        <f>IF(CO103&gt;0,CN103*CO103*CT$54,"")</f>
        <v/>
      </c>
      <c r="CU107" s="46">
        <f>CN107-SUM(CP107:CT107)</f>
        <v>1369.9789646164515</v>
      </c>
      <c r="CV107" s="47">
        <f>DB106</f>
        <v>1732.0398039704091</v>
      </c>
      <c r="CW107" s="47">
        <f>CU107/CM107</f>
        <v>164.06898052493557</v>
      </c>
      <c r="CX107" s="47">
        <f>CW95</f>
        <v>134.18258902176842</v>
      </c>
      <c r="CY107" s="47">
        <f>(CX107*$BS$41)-CX107</f>
        <v>53.673035608707352</v>
      </c>
      <c r="CZ107" s="49">
        <f>CU107-CW107+CX107+CY107</f>
        <v>1393.7656087219916</v>
      </c>
      <c r="DA107" s="49">
        <f>CZ107-CN107</f>
        <v>23.786644105540063</v>
      </c>
      <c r="DB107" s="47">
        <f>IF(DB106&lt;2,0,CV107-CX107+CW107)</f>
        <v>1761.9261954735764</v>
      </c>
      <c r="DC107" s="49">
        <f>DB107-CV107</f>
        <v>29.88639150316726</v>
      </c>
      <c r="DD107" s="50">
        <f>(CN107+CX107*12)*0.025</f>
        <v>74.50425082194181</v>
      </c>
      <c r="DE107" s="49">
        <f>CZ107+DB107-DD107</f>
        <v>3081.1875533736261</v>
      </c>
      <c r="DF107" s="50"/>
      <c r="DG107" s="51" t="e">
        <f>IF(CO106&gt;0,CP106+CQ107+CL106*0.025,NA())</f>
        <v>#N/A</v>
      </c>
      <c r="DH107" s="52"/>
      <c r="DI107" s="53" t="str">
        <f t="shared" si="7"/>
        <v/>
      </c>
      <c r="DJ107" s="54">
        <f>(CL107-CL106)/CL106</f>
        <v>1.7293561133250833E-2</v>
      </c>
      <c r="DK107" s="70"/>
      <c r="DL107" s="55">
        <v>53</v>
      </c>
      <c r="DM107" s="6">
        <f>$BR$7</f>
        <v>0.95</v>
      </c>
      <c r="DN107" s="6"/>
      <c r="DO107" s="88"/>
      <c r="DP107" s="6"/>
      <c r="DQ107" s="88"/>
      <c r="DR107" s="21" t="e">
        <f>IF(CO107=0,NA(),1)</f>
        <v>#N/A</v>
      </c>
      <c r="DS107" s="57">
        <v>5</v>
      </c>
      <c r="DT107" s="58">
        <f>DS107*4500</f>
        <v>22500</v>
      </c>
      <c r="DU107" s="57">
        <v>20</v>
      </c>
      <c r="DV107" s="57">
        <f>DU107*1800</f>
        <v>36000</v>
      </c>
      <c r="DW107" s="59">
        <f>5*LN(DV107/DT107)+6</f>
        <v>8.3500181462286776</v>
      </c>
      <c r="DX107" s="68">
        <v>0</v>
      </c>
      <c r="DY107" s="61">
        <f>DX107*4500</f>
        <v>0</v>
      </c>
      <c r="DZ107" s="68">
        <v>10</v>
      </c>
      <c r="EA107" s="68">
        <f>EA106+5</f>
        <v>2065</v>
      </c>
      <c r="EB107" s="61">
        <v>20000</v>
      </c>
      <c r="EC107" s="61" t="e">
        <f>IF(DY107=0,NA(),EB107/DY107)</f>
        <v>#N/A</v>
      </c>
      <c r="ED107" s="60">
        <v>200</v>
      </c>
      <c r="EE107" s="89" t="s">
        <v>54</v>
      </c>
      <c r="EF107" s="90">
        <v>9</v>
      </c>
      <c r="EG107" s="86">
        <v>46321</v>
      </c>
    </row>
    <row r="108" spans="65:137" ht="15">
      <c r="CI108" s="19">
        <v>46322</v>
      </c>
      <c r="CJ108" s="49">
        <v>42</v>
      </c>
      <c r="CK108" s="87">
        <f>AS36</f>
        <v>0</v>
      </c>
      <c r="CL108" s="49">
        <f>DE107</f>
        <v>3081.1875533736261</v>
      </c>
      <c r="CM108" s="42">
        <f t="shared" si="4"/>
        <v>8.3500181462286776</v>
      </c>
      <c r="CN108" s="43">
        <f>CZ107</f>
        <v>1393.7656087219916</v>
      </c>
      <c r="CO108" s="6">
        <f t="shared" si="13"/>
        <v>0</v>
      </c>
      <c r="CP108" s="65">
        <f>CN108*CO108*CP$54</f>
        <v>0</v>
      </c>
      <c r="CQ108" s="69" t="str">
        <f>IF(CO107&gt;0,CN108*CO107*CQ$54,"")</f>
        <v/>
      </c>
      <c r="CR108" s="69" t="str">
        <f>IF(CO106&gt;0,CN108*CO106*CR$54,"")</f>
        <v/>
      </c>
      <c r="CS108" s="69" t="str">
        <f>IF(CO105&gt;0,CN105*CO105*CS$54,"")</f>
        <v/>
      </c>
      <c r="CT108" s="69" t="str">
        <f>IF(CO104&gt;0,CN104*CO104*CT$54,"")</f>
        <v/>
      </c>
      <c r="CU108" s="46">
        <f>CN108-SUM(CP108:CT108)</f>
        <v>1393.7656087219916</v>
      </c>
      <c r="CV108" s="47">
        <f>DB107</f>
        <v>1761.9261954735764</v>
      </c>
      <c r="CW108" s="47">
        <f>CU108/CM108</f>
        <v>166.91767422703052</v>
      </c>
      <c r="CX108" s="47">
        <f>CW96</f>
        <v>136.48197884370359</v>
      </c>
      <c r="CY108" s="47">
        <f>(CX108*$BS$41)-CX108</f>
        <v>54.592791537481418</v>
      </c>
      <c r="CZ108" s="49">
        <f>CU108-CW108+CX108+CY108</f>
        <v>1417.9227048761459</v>
      </c>
      <c r="DA108" s="49">
        <f>CZ108-CN108</f>
        <v>24.15709615415426</v>
      </c>
      <c r="DB108" s="47">
        <f>IF(DB107&lt;2,0,CV108-CX108+CW108)</f>
        <v>1792.3618908569033</v>
      </c>
      <c r="DC108" s="49">
        <f>DB108-CV108</f>
        <v>30.435695383326902</v>
      </c>
      <c r="DD108" s="50">
        <f>(CN108+CX108*12)*0.025</f>
        <v>75.788733871160872</v>
      </c>
      <c r="DE108" s="49">
        <f>CZ108+DB108-DD108</f>
        <v>3134.4958618618884</v>
      </c>
      <c r="DF108" s="50">
        <f t="shared" ref="DF108" si="18">DD108</f>
        <v>75.788733871160872</v>
      </c>
      <c r="DG108" s="51" t="e">
        <f>IF(CO107&gt;0,CP107+CQ108+CL107*0.025,NA())</f>
        <v>#N/A</v>
      </c>
      <c r="DH108" s="52"/>
      <c r="DI108" s="53" t="str">
        <f t="shared" si="7"/>
        <v/>
      </c>
      <c r="DJ108" s="54">
        <f>(CL108-CL107)/CL107</f>
        <v>1.7300072293589711E-2</v>
      </c>
      <c r="DK108" s="41">
        <f>CL108</f>
        <v>3081.1875533736261</v>
      </c>
      <c r="DL108" s="55">
        <v>54</v>
      </c>
      <c r="DM108" s="6"/>
      <c r="DN108" s="6"/>
      <c r="DO108" s="6"/>
      <c r="DP108" s="6"/>
      <c r="DQ108" s="88"/>
      <c r="DR108" s="21" t="e">
        <f>IF(CO108=0,NA(),1)</f>
        <v>#N/A</v>
      </c>
      <c r="DS108" s="57">
        <v>5</v>
      </c>
      <c r="DT108" s="58">
        <f>DS108*4500</f>
        <v>22500</v>
      </c>
      <c r="DU108" s="57">
        <v>20</v>
      </c>
      <c r="DV108" s="57">
        <f>DU108*1800</f>
        <v>36000</v>
      </c>
      <c r="DW108" s="59">
        <f>5*LN(DV108/DT108)+6</f>
        <v>8.3500181462286776</v>
      </c>
      <c r="DX108" s="68">
        <v>0</v>
      </c>
      <c r="DY108" s="61">
        <f>DX108*4500</f>
        <v>0</v>
      </c>
      <c r="DZ108" s="68">
        <v>10</v>
      </c>
      <c r="EA108" s="68">
        <f>EA107+5</f>
        <v>2070</v>
      </c>
      <c r="EB108" s="61">
        <v>20000</v>
      </c>
      <c r="EC108" s="61" t="e">
        <f t="shared" ref="EC108:EC126" si="19">IF(DY108=0,NA(),EB108/DY108)</f>
        <v>#N/A</v>
      </c>
      <c r="ED108" s="60">
        <v>200</v>
      </c>
      <c r="EE108" s="89" t="s">
        <v>54</v>
      </c>
      <c r="EF108" s="90">
        <v>10</v>
      </c>
      <c r="EG108" s="86">
        <v>46322</v>
      </c>
    </row>
    <row r="109" spans="65:137" ht="15">
      <c r="CI109" s="19">
        <v>46323</v>
      </c>
      <c r="CJ109" s="49">
        <v>43</v>
      </c>
      <c r="CK109" s="87">
        <f>AT36</f>
        <v>0</v>
      </c>
      <c r="CL109" s="49">
        <f>DE108</f>
        <v>3134.4958618618884</v>
      </c>
      <c r="CM109" s="42">
        <f t="shared" si="4"/>
        <v>8.3500181462286776</v>
      </c>
      <c r="CN109" s="43">
        <f>CZ108</f>
        <v>1417.9227048761459</v>
      </c>
      <c r="CO109" s="6">
        <f t="shared" si="13"/>
        <v>0</v>
      </c>
      <c r="CP109" s="65">
        <f>CN109*CO109*CP$54</f>
        <v>0</v>
      </c>
      <c r="CQ109" s="69" t="str">
        <f>IF(CO108&gt;0,CN109*CO108*CQ$54,"")</f>
        <v/>
      </c>
      <c r="CR109" s="69" t="str">
        <f>IF(CO107&gt;0,CN109*CO107*CR$54,"")</f>
        <v/>
      </c>
      <c r="CS109" s="69" t="str">
        <f>IF(CO106&gt;0,CN106*CO106*CS$54,"")</f>
        <v/>
      </c>
      <c r="CT109" s="69" t="str">
        <f>IF(CO105&gt;0,CN105*CO105*CT$54,"")</f>
        <v/>
      </c>
      <c r="CU109" s="46">
        <f>CN109-SUM(CP109:CT109)</f>
        <v>1417.9227048761459</v>
      </c>
      <c r="CV109" s="47">
        <f>DB108</f>
        <v>1792.3618908569033</v>
      </c>
      <c r="CW109" s="47">
        <f>CU109/CM109</f>
        <v>169.81073334751457</v>
      </c>
      <c r="CX109" s="47">
        <f>CW97</f>
        <v>138.78545040235915</v>
      </c>
      <c r="CY109" s="47">
        <f>(CX109*$BS$41)-CX109</f>
        <v>55.514180160943653</v>
      </c>
      <c r="CZ109" s="49">
        <f>CU109-CW109+CX109+CY109</f>
        <v>1442.4116020919341</v>
      </c>
      <c r="DA109" s="49">
        <f>CZ109-CN109</f>
        <v>24.488897215788256</v>
      </c>
      <c r="DB109" s="47">
        <f>IF(DB108&lt;2,0,CV109-CX109+CW109)</f>
        <v>1823.3871738020587</v>
      </c>
      <c r="DC109" s="49">
        <f>DB109-CV109</f>
        <v>31.025282945155368</v>
      </c>
      <c r="DD109" s="50">
        <f>(CN109+CX109*12)*0.025</f>
        <v>77.083702742611393</v>
      </c>
      <c r="DE109" s="49">
        <f>CZ109+DB109-DD109</f>
        <v>3188.7150731513811</v>
      </c>
      <c r="DF109" s="50"/>
      <c r="DG109" s="51" t="e">
        <f>IF(CO108&gt;0,CP108+CQ109+CL108*0.025,NA())</f>
        <v>#N/A</v>
      </c>
      <c r="DH109" s="52"/>
      <c r="DI109" s="53" t="str">
        <f t="shared" si="7"/>
        <v/>
      </c>
      <c r="DJ109" s="54">
        <f>(CL109-CL108)/CL108</f>
        <v>1.7301221546833299E-2</v>
      </c>
      <c r="DK109" s="70"/>
      <c r="DL109" s="55">
        <v>55</v>
      </c>
      <c r="DM109" s="6"/>
      <c r="DN109" s="6"/>
      <c r="DO109" s="6">
        <f>$BR$7</f>
        <v>0.95</v>
      </c>
      <c r="DP109" s="6"/>
      <c r="DQ109" s="6">
        <f>$BR$7</f>
        <v>0.95</v>
      </c>
      <c r="DR109" s="21" t="e">
        <f>IF(CO109=0,NA(),1)</f>
        <v>#N/A</v>
      </c>
      <c r="DS109" s="57">
        <v>5</v>
      </c>
      <c r="DT109" s="58">
        <f>DS109*4500</f>
        <v>22500</v>
      </c>
      <c r="DU109" s="57">
        <v>20</v>
      </c>
      <c r="DV109" s="57">
        <f>DU109*1800</f>
        <v>36000</v>
      </c>
      <c r="DW109" s="59">
        <f>5*LN(DV109/DT109)+6</f>
        <v>8.3500181462286776</v>
      </c>
      <c r="DX109" s="68">
        <v>0</v>
      </c>
      <c r="DY109" s="61">
        <f>DX109*4500</f>
        <v>0</v>
      </c>
      <c r="DZ109" s="68">
        <v>10</v>
      </c>
      <c r="EA109" s="68">
        <f>EA108+5</f>
        <v>2075</v>
      </c>
      <c r="EB109" s="61">
        <v>20000</v>
      </c>
      <c r="EC109" s="61" t="e">
        <f t="shared" si="19"/>
        <v>#N/A</v>
      </c>
      <c r="ED109" s="60">
        <v>200</v>
      </c>
      <c r="EE109" s="89" t="s">
        <v>54</v>
      </c>
      <c r="EF109" s="90">
        <v>11</v>
      </c>
      <c r="EG109" s="86">
        <v>46323</v>
      </c>
    </row>
    <row r="110" spans="65:137" ht="15">
      <c r="CI110" s="19">
        <v>46324</v>
      </c>
      <c r="CJ110" s="49">
        <v>44</v>
      </c>
      <c r="CK110" s="87">
        <f>AU36</f>
        <v>0</v>
      </c>
      <c r="CL110" s="49">
        <f>DE109</f>
        <v>3188.7150731513811</v>
      </c>
      <c r="CM110" s="42">
        <f t="shared" si="4"/>
        <v>8.3500181462286776</v>
      </c>
      <c r="CN110" s="43">
        <f>CZ109</f>
        <v>1442.4116020919341</v>
      </c>
      <c r="CO110" s="6">
        <f t="shared" si="13"/>
        <v>0</v>
      </c>
      <c r="CP110" s="65">
        <f>CN110*CO110*CP$54</f>
        <v>0</v>
      </c>
      <c r="CQ110" s="69" t="str">
        <f>IF(CO109&gt;0,CN110*CO109*CQ$54,"")</f>
        <v/>
      </c>
      <c r="CR110" s="69" t="str">
        <f>IF(CO108&gt;0,CN110*CO108*CR$54,"")</f>
        <v/>
      </c>
      <c r="CS110" s="69" t="str">
        <f>IF(CO107&gt;0,CN107*CO107*CS$54,"")</f>
        <v/>
      </c>
      <c r="CT110" s="69" t="str">
        <f>IF(CO106&gt;0,CN106*CO106*CT$54,"")</f>
        <v/>
      </c>
      <c r="CU110" s="46">
        <f>CN110-SUM(CP110:CT110)</f>
        <v>1442.4116020919341</v>
      </c>
      <c r="CV110" s="47">
        <f>DB109</f>
        <v>1823.3871738020587</v>
      </c>
      <c r="CW110" s="47">
        <f>CU110/CM110</f>
        <v>172.74352903573097</v>
      </c>
      <c r="CX110" s="47">
        <f>CW98</f>
        <v>141.10288820232316</v>
      </c>
      <c r="CY110" s="47">
        <f>(CX110*$BS$41)-CX110</f>
        <v>56.441155280929252</v>
      </c>
      <c r="CZ110" s="49">
        <f>CU110-CW110+CX110+CY110</f>
        <v>1467.2121165394556</v>
      </c>
      <c r="DA110" s="49">
        <f>CZ110-CN110</f>
        <v>24.800514447521437</v>
      </c>
      <c r="DB110" s="47">
        <f>IF(DB109&lt;2,0,CV110-CX110+CW110)</f>
        <v>1855.0278146354665</v>
      </c>
      <c r="DC110" s="49">
        <f>DB110-CV110</f>
        <v>31.640640833407815</v>
      </c>
      <c r="DD110" s="50">
        <f>(CN110+CX110*12)*0.025</f>
        <v>78.391156512995309</v>
      </c>
      <c r="DE110" s="49">
        <f>CZ110+DB110-DD110</f>
        <v>3243.8487746619271</v>
      </c>
      <c r="DF110" s="50">
        <f t="shared" ref="DF110" si="20">DD110</f>
        <v>78.391156512995309</v>
      </c>
      <c r="DG110" s="51" t="e">
        <f>IF(CO109&gt;0,CP109+CQ110+CL109*0.025,NA())</f>
        <v>#N/A</v>
      </c>
      <c r="DH110" s="52"/>
      <c r="DI110" s="53" t="str">
        <f t="shared" si="7"/>
        <v/>
      </c>
      <c r="DJ110" s="54">
        <f>(CL110-CL109)/CL109</f>
        <v>1.7297585857167643E-2</v>
      </c>
      <c r="DK110" s="70"/>
      <c r="DL110" s="55">
        <v>56</v>
      </c>
      <c r="DM110" s="6"/>
      <c r="DN110" s="6"/>
      <c r="DO110" s="6"/>
      <c r="DP110" s="88"/>
      <c r="DQ110" s="6"/>
      <c r="DR110" s="21" t="e">
        <f>IF(CO110=0,NA(),1)</f>
        <v>#N/A</v>
      </c>
      <c r="DS110" s="57">
        <v>5</v>
      </c>
      <c r="DT110" s="58">
        <f>DS110*4500</f>
        <v>22500</v>
      </c>
      <c r="DU110" s="57">
        <v>20</v>
      </c>
      <c r="DV110" s="57">
        <f>DU110*1800</f>
        <v>36000</v>
      </c>
      <c r="DW110" s="59">
        <f>5*LN(DV110/DT110)+6</f>
        <v>8.3500181462286776</v>
      </c>
      <c r="DX110" s="68">
        <v>0</v>
      </c>
      <c r="DY110" s="61">
        <f>DX110*4500</f>
        <v>0</v>
      </c>
      <c r="DZ110" s="68">
        <v>10</v>
      </c>
      <c r="EA110" s="68">
        <f>EA109+5</f>
        <v>2080</v>
      </c>
      <c r="EB110" s="61">
        <v>20000</v>
      </c>
      <c r="EC110" s="61" t="e">
        <f t="shared" si="19"/>
        <v>#N/A</v>
      </c>
      <c r="ED110" s="60">
        <v>200</v>
      </c>
      <c r="EE110" s="89" t="s">
        <v>54</v>
      </c>
      <c r="EF110" s="90">
        <v>12</v>
      </c>
      <c r="EG110" s="86">
        <v>46324</v>
      </c>
    </row>
    <row r="111" spans="65:137" ht="15">
      <c r="CI111" s="19">
        <v>46325</v>
      </c>
      <c r="CJ111" s="49">
        <v>45</v>
      </c>
      <c r="CK111" s="87">
        <f>AV36</f>
        <v>0</v>
      </c>
      <c r="CL111" s="49">
        <f>DE110</f>
        <v>3243.8487746619271</v>
      </c>
      <c r="CM111" s="42">
        <f t="shared" si="4"/>
        <v>8.3500181462286776</v>
      </c>
      <c r="CN111" s="43">
        <f>CZ110</f>
        <v>1467.2121165394556</v>
      </c>
      <c r="CO111" s="6">
        <f t="shared" si="13"/>
        <v>0</v>
      </c>
      <c r="CP111" s="65">
        <f>CN111*CO111*CP$54</f>
        <v>0</v>
      </c>
      <c r="CQ111" s="69" t="str">
        <f>IF(CO110&gt;0,CN111*CO110*CQ$54,"")</f>
        <v/>
      </c>
      <c r="CR111" s="69" t="str">
        <f>IF(CO109&gt;0,CN111*CO109*CR$54,"")</f>
        <v/>
      </c>
      <c r="CS111" s="69" t="str">
        <f>IF(CO108&gt;0,CN108*CO108*CS$54,"")</f>
        <v/>
      </c>
      <c r="CT111" s="69" t="str">
        <f>IF(CO107&gt;0,CN107*CO107*CT$54,"")</f>
        <v/>
      </c>
      <c r="CU111" s="46">
        <f>CN111-SUM(CP111:CT111)</f>
        <v>1467.2121165394556</v>
      </c>
      <c r="CV111" s="47">
        <f>DB110</f>
        <v>1855.0278146354665</v>
      </c>
      <c r="CW111" s="47">
        <f>CU111/CM111</f>
        <v>175.71364407179502</v>
      </c>
      <c r="CX111" s="47">
        <f>CW99</f>
        <v>143.4450928890538</v>
      </c>
      <c r="CY111" s="47">
        <f>(CX111*$BS$41)-CX111</f>
        <v>57.378037155621513</v>
      </c>
      <c r="CZ111" s="49">
        <f>CU111-CW111+CX111+CY111</f>
        <v>1492.3216025123359</v>
      </c>
      <c r="DA111" s="49">
        <f>CZ111-CN111</f>
        <v>25.109485972880293</v>
      </c>
      <c r="DB111" s="47">
        <f>IF(DB110&lt;2,0,CV111-CX111+CW111)</f>
        <v>1887.2963658182077</v>
      </c>
      <c r="DC111" s="49">
        <f>DB111-CV111</f>
        <v>32.268551182741248</v>
      </c>
      <c r="DD111" s="50">
        <f>(CN111+CX111*12)*0.025</f>
        <v>79.713830780202542</v>
      </c>
      <c r="DE111" s="49">
        <f>CZ111+DB111-DD111</f>
        <v>3299.9041375503411</v>
      </c>
      <c r="DF111" s="50"/>
      <c r="DG111" s="51" t="e">
        <f>IF(CO110&gt;0,CP110+CQ111+CL110*0.025,NA())</f>
        <v>#N/A</v>
      </c>
      <c r="DH111" s="52"/>
      <c r="DI111" s="53" t="str">
        <f t="shared" si="7"/>
        <v/>
      </c>
      <c r="DJ111" s="54">
        <f>(CL111-CL110)/CL110</f>
        <v>1.7290256496971294E-2</v>
      </c>
      <c r="DK111" s="41"/>
      <c r="DL111" s="55">
        <v>57</v>
      </c>
      <c r="DM111" s="6">
        <f>$BR$7</f>
        <v>0.95</v>
      </c>
      <c r="DN111" s="6">
        <f>$BR$7</f>
        <v>0.95</v>
      </c>
      <c r="DO111" s="6"/>
      <c r="DP111" s="6"/>
      <c r="DQ111" s="6"/>
      <c r="DR111" s="21" t="e">
        <f>IF(CO111=0,NA(),1)</f>
        <v>#N/A</v>
      </c>
      <c r="DS111" s="57">
        <v>5</v>
      </c>
      <c r="DT111" s="58">
        <f>DS111*4500</f>
        <v>22500</v>
      </c>
      <c r="DU111" s="57">
        <v>20</v>
      </c>
      <c r="DV111" s="57">
        <f>DU111*1800</f>
        <v>36000</v>
      </c>
      <c r="DW111" s="59">
        <f>5*LN(DV111/DT111)+6</f>
        <v>8.3500181462286776</v>
      </c>
      <c r="DX111" s="68">
        <v>0</v>
      </c>
      <c r="DY111" s="61">
        <f>DX111*4500</f>
        <v>0</v>
      </c>
      <c r="DZ111" s="68">
        <v>10</v>
      </c>
      <c r="EA111" s="68">
        <f>EA110+5</f>
        <v>2085</v>
      </c>
      <c r="EB111" s="61">
        <v>20000</v>
      </c>
      <c r="EC111" s="61" t="e">
        <f t="shared" si="19"/>
        <v>#N/A</v>
      </c>
      <c r="ED111" s="60">
        <v>200</v>
      </c>
      <c r="EE111" s="89" t="s">
        <v>54</v>
      </c>
      <c r="EF111" s="90">
        <v>13</v>
      </c>
      <c r="EG111" s="86">
        <v>46325</v>
      </c>
    </row>
    <row r="112" spans="65:137" ht="15">
      <c r="CI112" s="19">
        <v>46326</v>
      </c>
      <c r="CJ112" s="49">
        <v>46</v>
      </c>
      <c r="CK112" s="87">
        <f>AW36</f>
        <v>1</v>
      </c>
      <c r="CL112" s="49">
        <f>DE111</f>
        <v>3299.9041375503411</v>
      </c>
      <c r="CM112" s="42">
        <f t="shared" si="4"/>
        <v>8.3500181462286776</v>
      </c>
      <c r="CN112" s="43">
        <f>CZ111</f>
        <v>1492.3216025123359</v>
      </c>
      <c r="CO112" s="6">
        <f t="shared" si="13"/>
        <v>0</v>
      </c>
      <c r="CP112" s="65">
        <f>CN112*CO112*CP$54</f>
        <v>0</v>
      </c>
      <c r="CQ112" s="69" t="str">
        <f>IF(CO111&gt;0,CN112*CO111*CQ$54,"")</f>
        <v/>
      </c>
      <c r="CR112" s="69" t="str">
        <f>IF(CO110&gt;0,CN112*CO110*CR$54,"")</f>
        <v/>
      </c>
      <c r="CS112" s="69" t="str">
        <f>IF(CO109&gt;0,CN109*CO109*CS$54,"")</f>
        <v/>
      </c>
      <c r="CT112" s="69" t="str">
        <f>IF(CO108&gt;0,CN108*CO108*CT$54,"")</f>
        <v/>
      </c>
      <c r="CU112" s="46">
        <f>CN112-SUM(CP112:CT112)</f>
        <v>1492.3216025123359</v>
      </c>
      <c r="CV112" s="47">
        <f>DB111</f>
        <v>1887.2963658182077</v>
      </c>
      <c r="CW112" s="47">
        <f>CU112/CM112</f>
        <v>178.72076160533248</v>
      </c>
      <c r="CX112" s="47">
        <f>CW100</f>
        <v>145.82263501767176</v>
      </c>
      <c r="CY112" s="47">
        <f>(CX112*$BS$41)-CX112</f>
        <v>58.329054007068692</v>
      </c>
      <c r="CZ112" s="49">
        <f>CU112-CW112+CX112+CY112</f>
        <v>1517.7525299317438</v>
      </c>
      <c r="DA112" s="49">
        <f>CZ112-CN112</f>
        <v>25.430927419407908</v>
      </c>
      <c r="DB112" s="47">
        <f>IF(DB111&lt;2,0,CV112-CX112+CW112)</f>
        <v>1920.1944924058685</v>
      </c>
      <c r="DC112" s="49">
        <f>DB112-CV112</f>
        <v>32.898126587660727</v>
      </c>
      <c r="DD112" s="50">
        <f>(CN112+CX112*12)*0.025</f>
        <v>81.054830568109935</v>
      </c>
      <c r="DE112" s="49">
        <f>CZ112+DB112-DD112</f>
        <v>3356.892191769502</v>
      </c>
      <c r="DF112" s="50">
        <f t="shared" ref="DF112" si="21">DD112</f>
        <v>81.054830568109935</v>
      </c>
      <c r="DG112" s="51" t="e">
        <f>IF(CO111&gt;0,CP111+CQ112+CL111*0.025,NA())</f>
        <v>#N/A</v>
      </c>
      <c r="DH112" s="52"/>
      <c r="DI112" s="53" t="str">
        <f t="shared" si="7"/>
        <v/>
      </c>
      <c r="DJ112" s="54">
        <f>(CL112-CL111)/CL111</f>
        <v>1.7280510523877954E-2</v>
      </c>
      <c r="DK112" s="70"/>
      <c r="DL112" s="55">
        <v>57</v>
      </c>
      <c r="DM112" s="6"/>
      <c r="DN112" s="6"/>
      <c r="DO112" s="6"/>
      <c r="DP112" s="88"/>
      <c r="DQ112" s="6"/>
      <c r="DR112" s="21" t="e">
        <f>IF(CO112=0,NA(),1)</f>
        <v>#N/A</v>
      </c>
      <c r="DS112" s="57">
        <v>5</v>
      </c>
      <c r="DT112" s="58">
        <f>DS112*4500</f>
        <v>22500</v>
      </c>
      <c r="DU112" s="57">
        <v>20</v>
      </c>
      <c r="DV112" s="57">
        <f>DU112*1800</f>
        <v>36000</v>
      </c>
      <c r="DW112" s="59">
        <f>5*LN(DV112/DT112)+6</f>
        <v>8.3500181462286776</v>
      </c>
      <c r="DX112" s="68">
        <v>0</v>
      </c>
      <c r="DY112" s="61">
        <f>DX112*4500</f>
        <v>0</v>
      </c>
      <c r="DZ112" s="68">
        <v>11</v>
      </c>
      <c r="EA112" s="68">
        <f>EA111+5</f>
        <v>2090</v>
      </c>
      <c r="EB112" s="61">
        <v>20000</v>
      </c>
      <c r="EC112" s="61" t="e">
        <f t="shared" si="19"/>
        <v>#N/A</v>
      </c>
      <c r="ED112" s="60">
        <v>200</v>
      </c>
      <c r="EE112" s="89" t="s">
        <v>54</v>
      </c>
      <c r="EF112" s="90">
        <v>14</v>
      </c>
      <c r="EG112" s="86">
        <v>46326</v>
      </c>
    </row>
    <row r="113" spans="87:137" ht="15">
      <c r="CI113" s="19">
        <v>46327</v>
      </c>
      <c r="CJ113" s="49">
        <v>47</v>
      </c>
      <c r="CK113" s="87">
        <f>AX36</f>
        <v>0</v>
      </c>
      <c r="CL113" s="49">
        <f>DE112</f>
        <v>3356.892191769502</v>
      </c>
      <c r="CM113" s="42">
        <f t="shared" si="4"/>
        <v>8.3500181462286776</v>
      </c>
      <c r="CN113" s="43">
        <f>CZ112</f>
        <v>1517.7525299317438</v>
      </c>
      <c r="CO113" s="6">
        <f t="shared" si="13"/>
        <v>0</v>
      </c>
      <c r="CP113" s="65">
        <f>CN113*CO113*CP$54</f>
        <v>0</v>
      </c>
      <c r="CQ113" s="69" t="str">
        <f>IF(CO112&gt;0,CN113*CO112*CQ$54,"")</f>
        <v/>
      </c>
      <c r="CR113" s="69" t="str">
        <f>IF(CO111&gt;0,CN113*CO111*CR$54,"")</f>
        <v/>
      </c>
      <c r="CS113" s="69" t="str">
        <f>IF(CO110&gt;0,CN110*CO110*CS$54,"")</f>
        <v/>
      </c>
      <c r="CT113" s="69" t="str">
        <f>IF(CO109&gt;0,CN109*CO109*CT$54,"")</f>
        <v/>
      </c>
      <c r="CU113" s="46">
        <f>CN113-SUM(CP113:CT113)</f>
        <v>1517.7525299317438</v>
      </c>
      <c r="CV113" s="47">
        <f>DB112</f>
        <v>1920.1944924058685</v>
      </c>
      <c r="CW113" s="47">
        <f>CU113/CM113</f>
        <v>181.76637503683071</v>
      </c>
      <c r="CX113" s="47">
        <f>CW101</f>
        <v>148.2451766876863</v>
      </c>
      <c r="CY113" s="47">
        <f>(CX113*$BS$41)-CX113</f>
        <v>59.298070675074513</v>
      </c>
      <c r="CZ113" s="49">
        <f>CU113-CW113+CX113+CY113</f>
        <v>1543.5294022576738</v>
      </c>
      <c r="DA113" s="49">
        <f>CZ113-CN113</f>
        <v>25.776872325930071</v>
      </c>
      <c r="DB113" s="47">
        <f>IF(DB112&lt;2,0,CV113-CX113+CW113)</f>
        <v>1953.7156907550129</v>
      </c>
      <c r="DC113" s="49">
        <f>DB113-CV113</f>
        <v>33.52119834914447</v>
      </c>
      <c r="DD113" s="50">
        <f>(CN113+CX113*12)*0.025</f>
        <v>82.417366254599486</v>
      </c>
      <c r="DE113" s="49">
        <f>CZ113+DB113-DD113</f>
        <v>3414.8277267580875</v>
      </c>
      <c r="DF113" s="50"/>
      <c r="DG113" s="51" t="e">
        <f>IF(CO112&gt;0,CP112+CQ113+CL112*0.025,NA())</f>
        <v>#N/A</v>
      </c>
      <c r="DH113" s="52"/>
      <c r="DI113" s="53" t="str">
        <f t="shared" si="7"/>
        <v/>
      </c>
      <c r="DJ113" s="54">
        <f>(CL113-CL112)/CL112</f>
        <v>1.7269609007934852E-2</v>
      </c>
      <c r="DK113" s="70"/>
      <c r="DL113" s="55">
        <v>57</v>
      </c>
      <c r="DM113" s="6"/>
      <c r="DN113" s="6"/>
      <c r="DO113" s="6"/>
      <c r="DP113" s="6"/>
      <c r="DQ113" s="88"/>
      <c r="DR113" s="21" t="e">
        <f>IF(CO113=0,NA(),1)</f>
        <v>#N/A</v>
      </c>
      <c r="DS113" s="57">
        <v>5</v>
      </c>
      <c r="DT113" s="58">
        <f>DS113*4500</f>
        <v>22500</v>
      </c>
      <c r="DU113" s="57">
        <v>20</v>
      </c>
      <c r="DV113" s="57">
        <f>DU113*1800</f>
        <v>36000</v>
      </c>
      <c r="DW113" s="59">
        <f>5*LN(DV113/DT113)+6</f>
        <v>8.3500181462286776</v>
      </c>
      <c r="DX113" s="68">
        <v>0</v>
      </c>
      <c r="DY113" s="61">
        <f>DX113*4500</f>
        <v>0</v>
      </c>
      <c r="DZ113" s="68">
        <v>12</v>
      </c>
      <c r="EA113" s="68">
        <f>EA112+5</f>
        <v>2095</v>
      </c>
      <c r="EB113" s="61">
        <v>20000</v>
      </c>
      <c r="EC113" s="61" t="e">
        <f t="shared" si="19"/>
        <v>#N/A</v>
      </c>
      <c r="ED113" s="60">
        <v>200</v>
      </c>
      <c r="EE113" s="89" t="s">
        <v>54</v>
      </c>
      <c r="EF113" s="90">
        <v>15</v>
      </c>
      <c r="EG113" s="86">
        <v>46327</v>
      </c>
    </row>
    <row r="114" spans="87:137" ht="15">
      <c r="CI114" s="19">
        <v>46328</v>
      </c>
      <c r="CJ114" s="49">
        <v>48</v>
      </c>
      <c r="CK114" s="87">
        <f>AY36</f>
        <v>0</v>
      </c>
      <c r="CL114" s="49">
        <f>DE113</f>
        <v>3414.8277267580875</v>
      </c>
      <c r="CM114" s="42">
        <f t="shared" si="4"/>
        <v>8.3500181462286776</v>
      </c>
      <c r="CN114" s="43">
        <f>CZ113</f>
        <v>1543.5294022576738</v>
      </c>
      <c r="CO114" s="6">
        <f t="shared" si="13"/>
        <v>0</v>
      </c>
      <c r="CP114" s="65">
        <f>CN114*CO114*CP$54</f>
        <v>0</v>
      </c>
      <c r="CQ114" s="69" t="str">
        <f>IF(CO113&gt;0,CN114*CO113*CQ$54,"")</f>
        <v/>
      </c>
      <c r="CR114" s="69" t="str">
        <f>IF(CO112&gt;0,CN114*CO112*CR$54,"")</f>
        <v/>
      </c>
      <c r="CS114" s="69" t="str">
        <f>IF(CO111&gt;0,CN111*CO111*CS$54,"")</f>
        <v/>
      </c>
      <c r="CT114" s="69" t="str">
        <f>IF(CO110&gt;0,CN110*CO110*CT$54,"")</f>
        <v/>
      </c>
      <c r="CU114" s="46">
        <f>CN114-SUM(CP114:CT114)</f>
        <v>1543.5294022576738</v>
      </c>
      <c r="CV114" s="47">
        <f>DB113</f>
        <v>1953.7156907550129</v>
      </c>
      <c r="CW114" s="47">
        <f>CU114/CM114</f>
        <v>184.85341890601947</v>
      </c>
      <c r="CX114" s="47">
        <f>CW102</f>
        <v>150.72111632157353</v>
      </c>
      <c r="CY114" s="47">
        <f>(CX114*$BS$41)-CX114</f>
        <v>60.288446528629407</v>
      </c>
      <c r="CZ114" s="49">
        <f>CU114-CW114+CX114+CY114</f>
        <v>1569.6855462018575</v>
      </c>
      <c r="DA114" s="49">
        <f>CZ114-CN114</f>
        <v>26.156143944183668</v>
      </c>
      <c r="DB114" s="47">
        <f>IF(DB113&lt;2,0,CV114-CX114+CW114)</f>
        <v>1987.8479933394588</v>
      </c>
      <c r="DC114" s="49">
        <f>DB114-CV114</f>
        <v>34.132302584445824</v>
      </c>
      <c r="DD114" s="50">
        <f>(CN114+CX114*12)*0.025</f>
        <v>83.804569952913909</v>
      </c>
      <c r="DE114" s="49">
        <f>CZ114+DB114-DD114</f>
        <v>3473.7289695884024</v>
      </c>
      <c r="DF114" s="50">
        <f t="shared" ref="DF114" si="22">DD114</f>
        <v>83.804569952913909</v>
      </c>
      <c r="DG114" s="51" t="e">
        <f>IF(CO113&gt;0,CP113+CQ114+CL113*0.025,NA())</f>
        <v>#N/A</v>
      </c>
      <c r="DH114" s="52"/>
      <c r="DI114" s="53" t="str">
        <f t="shared" si="7"/>
        <v/>
      </c>
      <c r="DJ114" s="54">
        <f>(CL114-CL113)/CL113</f>
        <v>1.725868204246565E-2</v>
      </c>
      <c r="DK114" s="41">
        <f>CL114</f>
        <v>3414.8277267580875</v>
      </c>
      <c r="DL114" s="55">
        <v>57</v>
      </c>
      <c r="DM114" s="6"/>
      <c r="DN114" s="6"/>
      <c r="DO114" s="88"/>
      <c r="DP114" s="6"/>
      <c r="DQ114" s="6"/>
      <c r="DR114" s="21" t="e">
        <f>IF(CO114=0,NA(),1)</f>
        <v>#N/A</v>
      </c>
      <c r="DS114" s="57">
        <v>5</v>
      </c>
      <c r="DT114" s="58">
        <f>DS114*4500</f>
        <v>22500</v>
      </c>
      <c r="DU114" s="57">
        <v>20</v>
      </c>
      <c r="DV114" s="57">
        <f>DU114*1800</f>
        <v>36000</v>
      </c>
      <c r="DW114" s="59">
        <f>5*LN(DV114/DT114)+6</f>
        <v>8.3500181462286776</v>
      </c>
      <c r="DX114" s="68">
        <v>0</v>
      </c>
      <c r="DY114" s="61">
        <f>DX114*4500</f>
        <v>0</v>
      </c>
      <c r="DZ114" s="68">
        <v>13</v>
      </c>
      <c r="EA114" s="68">
        <f>EA113+5</f>
        <v>2100</v>
      </c>
      <c r="EB114" s="61">
        <v>20000</v>
      </c>
      <c r="EC114" s="61" t="e">
        <f t="shared" si="19"/>
        <v>#N/A</v>
      </c>
      <c r="ED114" s="60">
        <v>200</v>
      </c>
      <c r="EE114" s="89" t="s">
        <v>54</v>
      </c>
      <c r="EF114" s="90">
        <v>16</v>
      </c>
      <c r="EG114" s="86">
        <v>46328</v>
      </c>
    </row>
    <row r="115" spans="87:137" ht="15">
      <c r="CI115" s="19">
        <v>46329</v>
      </c>
      <c r="CJ115" s="49">
        <v>49</v>
      </c>
      <c r="CK115" s="87">
        <f>AZ36</f>
        <v>0</v>
      </c>
      <c r="CL115" s="49">
        <f>DE114</f>
        <v>3473.7289695884024</v>
      </c>
      <c r="CM115" s="42">
        <f t="shared" si="4"/>
        <v>8.3500181462286776</v>
      </c>
      <c r="CN115" s="43">
        <f>CZ114</f>
        <v>1569.6855462018575</v>
      </c>
      <c r="CO115" s="6">
        <f t="shared" si="13"/>
        <v>0</v>
      </c>
      <c r="CP115" s="65">
        <f>CN115*CO115*CP$54</f>
        <v>0</v>
      </c>
      <c r="CQ115" s="69" t="str">
        <f>IF(CO114&gt;0,CN115*CO114*CQ$54,"")</f>
        <v/>
      </c>
      <c r="CR115" s="69" t="str">
        <f>IF(CO113&gt;0,CN115*CO113*CR$54,"")</f>
        <v/>
      </c>
      <c r="CS115" s="69" t="str">
        <f>IF(CO112&gt;0,CN112*CO112*CS$54,"")</f>
        <v/>
      </c>
      <c r="CT115" s="69" t="str">
        <f>IF(CO111&gt;0,CN111*CO111*CT$54,"")</f>
        <v/>
      </c>
      <c r="CU115" s="46">
        <f>CN115-SUM(CP115:CT115)</f>
        <v>1569.6855462018575</v>
      </c>
      <c r="CV115" s="47">
        <f>DB114</f>
        <v>1987.8479933394588</v>
      </c>
      <c r="CW115" s="47">
        <f>CU115/CM115</f>
        <v>187.9858844271869</v>
      </c>
      <c r="CX115" s="47">
        <f>CW103</f>
        <v>153.25745109752643</v>
      </c>
      <c r="CY115" s="47">
        <f>(CX115*$BS$41)-CX115</f>
        <v>61.302980439010554</v>
      </c>
      <c r="CZ115" s="49">
        <f>CU115-CW115+CX115+CY115</f>
        <v>1596.2600933112076</v>
      </c>
      <c r="DA115" s="49">
        <f>CZ115-CN115</f>
        <v>26.574547109350078</v>
      </c>
      <c r="DB115" s="47">
        <f>IF(DB114&lt;2,0,CV115-CX115+CW115)</f>
        <v>2022.5764266691192</v>
      </c>
      <c r="DC115" s="49">
        <f>DB115-CV115</f>
        <v>34.728433329660447</v>
      </c>
      <c r="DD115" s="50">
        <f>(CN115+CX115*12)*0.025</f>
        <v>85.219373984304369</v>
      </c>
      <c r="DE115" s="49">
        <f>CZ115+DB115-DD115</f>
        <v>3533.6171459960224</v>
      </c>
      <c r="DF115" s="50"/>
      <c r="DG115" s="51" t="e">
        <f>IF(CO114&gt;0,CP114+CQ115+CL114*0.025,NA())</f>
        <v>#N/A</v>
      </c>
      <c r="DH115" s="52">
        <f>IF($BR$5="F",315*CZ115/EB115,315*CZ115/DV115)</f>
        <v>13.967275816473068</v>
      </c>
      <c r="DI115" s="53" t="str">
        <f t="shared" si="7"/>
        <v/>
      </c>
      <c r="DJ115" s="54">
        <f>(CL115-CL114)/CL114</f>
        <v>1.7248671834533099E-2</v>
      </c>
      <c r="DK115" s="70"/>
      <c r="DL115" s="55">
        <v>57</v>
      </c>
      <c r="DM115" s="6">
        <f>$BR$7</f>
        <v>0.95</v>
      </c>
      <c r="DN115" s="6"/>
      <c r="DO115" s="6"/>
      <c r="DP115" s="6">
        <f>$BR$7</f>
        <v>0.95</v>
      </c>
      <c r="DQ115" s="88"/>
      <c r="DR115" s="21" t="e">
        <f>IF(CO115=0,NA(),1)</f>
        <v>#N/A</v>
      </c>
      <c r="DS115" s="57">
        <v>5</v>
      </c>
      <c r="DT115" s="58">
        <f>DS115*4500</f>
        <v>22500</v>
      </c>
      <c r="DU115" s="57">
        <v>20</v>
      </c>
      <c r="DV115" s="57">
        <f>DU115*1800</f>
        <v>36000</v>
      </c>
      <c r="DW115" s="59">
        <f>5*LN(DV115/DT115)+6</f>
        <v>8.3500181462286776</v>
      </c>
      <c r="DX115" s="68">
        <v>0</v>
      </c>
      <c r="DY115" s="61">
        <f>DX115*4500</f>
        <v>0</v>
      </c>
      <c r="DZ115" s="68">
        <v>14</v>
      </c>
      <c r="EA115" s="68">
        <f>EA114+5</f>
        <v>2105</v>
      </c>
      <c r="EB115" s="61">
        <v>20000</v>
      </c>
      <c r="EC115" s="61" t="e">
        <f t="shared" si="19"/>
        <v>#N/A</v>
      </c>
      <c r="ED115" s="60">
        <v>200</v>
      </c>
      <c r="EE115" s="89" t="s">
        <v>54</v>
      </c>
      <c r="EF115" s="90">
        <v>17</v>
      </c>
      <c r="EG115" s="86">
        <v>46329</v>
      </c>
    </row>
    <row r="116" spans="87:137" ht="15">
      <c r="CI116" s="19">
        <v>46330</v>
      </c>
      <c r="CJ116" s="49">
        <v>50</v>
      </c>
      <c r="CK116" s="87">
        <f>BA36</f>
        <v>0</v>
      </c>
      <c r="CL116" s="49">
        <f>DE115</f>
        <v>3533.6171459960224</v>
      </c>
      <c r="CM116" s="42">
        <f t="shared" si="4"/>
        <v>8.3500181462286776</v>
      </c>
      <c r="CN116" s="43">
        <f>CZ115</f>
        <v>1596.2600933112076</v>
      </c>
      <c r="CO116" s="6">
        <f t="shared" si="13"/>
        <v>0</v>
      </c>
      <c r="CP116" s="65">
        <f>CN116*CO116*CP$54</f>
        <v>0</v>
      </c>
      <c r="CQ116" s="69" t="str">
        <f>IF(CO115&gt;0,CN116*CO115*CQ$54,"")</f>
        <v/>
      </c>
      <c r="CR116" s="69" t="str">
        <f>IF(CO114&gt;0,CN116*CO114*CR$54,"")</f>
        <v/>
      </c>
      <c r="CS116" s="69" t="str">
        <f>IF(CO113&gt;0,CN113*CO113*CS$54,"")</f>
        <v/>
      </c>
      <c r="CT116" s="69" t="str">
        <f>IF(CO112&gt;0,CN112*CO112*CT$54,"")</f>
        <v/>
      </c>
      <c r="CU116" s="46">
        <f>CN116-SUM(CP116:CT116)</f>
        <v>1596.2600933112076</v>
      </c>
      <c r="CV116" s="47">
        <f>DB115</f>
        <v>2022.5764266691192</v>
      </c>
      <c r="CW116" s="47">
        <f>CU116/CM116</f>
        <v>191.16845800295243</v>
      </c>
      <c r="CX116" s="47">
        <f>CW104</f>
        <v>155.85978091328823</v>
      </c>
      <c r="CY116" s="47">
        <f>(CX116*$BS$41)-CX116</f>
        <v>62.343912365315276</v>
      </c>
      <c r="CZ116" s="49">
        <f>CU116-CW116+CX116+CY116</f>
        <v>1623.2953285868587</v>
      </c>
      <c r="DA116" s="49">
        <f>CZ116-CN116</f>
        <v>27.035235275651075</v>
      </c>
      <c r="DB116" s="47">
        <f>IF(DB115&lt;2,0,CV116-CX116+CW116)</f>
        <v>2057.8851037587833</v>
      </c>
      <c r="DC116" s="49">
        <f>DB116-CV116</f>
        <v>35.308677089664116</v>
      </c>
      <c r="DD116" s="50">
        <f>(CN116+CX116*12)*0.025</f>
        <v>86.664436606766671</v>
      </c>
      <c r="DE116" s="49">
        <f>CZ116+DB116-DD116</f>
        <v>3594.5159957388751</v>
      </c>
      <c r="DF116" s="50">
        <f t="shared" ref="DF116" si="23">DD116</f>
        <v>86.664436606766671</v>
      </c>
      <c r="DG116" s="51" t="e">
        <f>IF(CO115&gt;0,CP115+CQ116+CL115*0.025,NA())</f>
        <v>#N/A</v>
      </c>
      <c r="DH116" s="52">
        <f>IF($BR$5="F",315*CZ116/EB116,315*CZ116/DV116)</f>
        <v>14.203834125135012</v>
      </c>
      <c r="DI116" s="53" t="str">
        <f t="shared" si="7"/>
        <v/>
      </c>
      <c r="DJ116" s="54">
        <f>(CL116-CL115)/CL115</f>
        <v>1.7240313487875844E-2</v>
      </c>
      <c r="DK116" s="70"/>
      <c r="DL116" s="55">
        <v>57</v>
      </c>
      <c r="DM116" s="6"/>
      <c r="DN116" s="6">
        <f>$BR$7</f>
        <v>0.95</v>
      </c>
      <c r="DO116" s="6">
        <f>$BR$7</f>
        <v>0.95</v>
      </c>
      <c r="DP116" s="6"/>
      <c r="DQ116" s="6"/>
      <c r="DR116" s="21" t="e">
        <f>IF(CO116=0,NA(),1)</f>
        <v>#N/A</v>
      </c>
      <c r="DS116" s="57">
        <v>5</v>
      </c>
      <c r="DT116" s="58">
        <f>DS116*4500</f>
        <v>22500</v>
      </c>
      <c r="DU116" s="57">
        <v>20</v>
      </c>
      <c r="DV116" s="57">
        <f>DU116*1800</f>
        <v>36000</v>
      </c>
      <c r="DW116" s="59">
        <f>5*LN(DV116/DT116)+6</f>
        <v>8.3500181462286776</v>
      </c>
      <c r="DX116" s="68">
        <v>0</v>
      </c>
      <c r="DY116" s="61">
        <f>DX116*4500</f>
        <v>0</v>
      </c>
      <c r="DZ116" s="68">
        <v>15</v>
      </c>
      <c r="EA116" s="68">
        <f>EA115+5</f>
        <v>2110</v>
      </c>
      <c r="EB116" s="61">
        <v>20000</v>
      </c>
      <c r="EC116" s="61" t="e">
        <f t="shared" si="19"/>
        <v>#N/A</v>
      </c>
      <c r="ED116" s="60">
        <v>200</v>
      </c>
      <c r="EE116" s="89" t="s">
        <v>54</v>
      </c>
      <c r="EF116" s="90">
        <v>18</v>
      </c>
      <c r="EG116" s="86">
        <v>46330</v>
      </c>
    </row>
    <row r="117" spans="87:137" ht="15">
      <c r="CI117" s="19">
        <v>46331</v>
      </c>
      <c r="CJ117" s="49">
        <v>51</v>
      </c>
      <c r="CK117" s="87">
        <f>BB36</f>
        <v>0</v>
      </c>
      <c r="CL117" s="49">
        <f>DE116</f>
        <v>3594.5159957388751</v>
      </c>
      <c r="CM117" s="42">
        <f t="shared" si="4"/>
        <v>8.3500181462286776</v>
      </c>
      <c r="CN117" s="43">
        <f>CZ116</f>
        <v>1623.2953285868587</v>
      </c>
      <c r="CO117" s="6">
        <f t="shared" si="13"/>
        <v>0</v>
      </c>
      <c r="CP117" s="65">
        <f>CN117*CO117*CP$54</f>
        <v>0</v>
      </c>
      <c r="CQ117" s="69" t="str">
        <f>IF(CO116&gt;0,CN117*CO116*CQ$54,"")</f>
        <v/>
      </c>
      <c r="CR117" s="69" t="str">
        <f>IF(CO115&gt;0,CN117*CO115*CR$54,"")</f>
        <v/>
      </c>
      <c r="CS117" s="69" t="str">
        <f>IF(CO114&gt;0,CN114*CO114*CS$54,"")</f>
        <v/>
      </c>
      <c r="CT117" s="69" t="str">
        <f>IF(CO113&gt;0,CN113*CO113*CT$54,"")</f>
        <v/>
      </c>
      <c r="CU117" s="46">
        <f>CN117-SUM(CP117:CT117)</f>
        <v>1623.2953285868587</v>
      </c>
      <c r="CV117" s="47">
        <f>DB116</f>
        <v>2057.8851037587833</v>
      </c>
      <c r="CW117" s="47">
        <f>CU117/CM117</f>
        <v>194.406203694303</v>
      </c>
      <c r="CX117" s="47">
        <f>CW105</f>
        <v>158.53239962786586</v>
      </c>
      <c r="CY117" s="47">
        <f>(CX117*$BS$41)-CX117</f>
        <v>63.412959851146326</v>
      </c>
      <c r="CZ117" s="49">
        <f>CU117-CW117+CX117+CY117</f>
        <v>1650.8344843715677</v>
      </c>
      <c r="DA117" s="49">
        <f>CZ117-CN117</f>
        <v>27.53915578470901</v>
      </c>
      <c r="DB117" s="47">
        <f>IF(DB116&lt;2,0,CV117-CX117+CW117)</f>
        <v>2093.7589078252204</v>
      </c>
      <c r="DC117" s="49">
        <f>DB117-CV117</f>
        <v>35.87380406643706</v>
      </c>
      <c r="DD117" s="50">
        <f>(CN117+CX117*12)*0.025</f>
        <v>88.142103103031218</v>
      </c>
      <c r="DE117" s="49">
        <f>CZ117+DB117-DD117</f>
        <v>3656.4512890937567</v>
      </c>
      <c r="DF117" s="50"/>
      <c r="DG117" s="51" t="e">
        <f>IF(CO116&gt;0,CP116+CQ117+CL116*0.025,NA())</f>
        <v>#N/A</v>
      </c>
      <c r="DH117" s="52"/>
      <c r="DI117" s="53" t="str">
        <f t="shared" si="7"/>
        <v/>
      </c>
      <c r="DJ117" s="54">
        <f>(CL117-CL116)/CL116</f>
        <v>1.7234139191298015E-2</v>
      </c>
      <c r="DK117" s="41"/>
      <c r="DL117" s="55">
        <v>57</v>
      </c>
      <c r="DM117" s="6"/>
      <c r="DN117" s="6"/>
      <c r="DO117" s="6"/>
      <c r="DP117" s="6"/>
      <c r="DQ117" s="6"/>
      <c r="DR117" s="21" t="e">
        <f>IF(CO117=0,NA(),1)</f>
        <v>#N/A</v>
      </c>
      <c r="DS117" s="57">
        <v>5</v>
      </c>
      <c r="DT117" s="58">
        <f>DS117*4500</f>
        <v>22500</v>
      </c>
      <c r="DU117" s="57">
        <v>20</v>
      </c>
      <c r="DV117" s="57">
        <f>DU117*1800</f>
        <v>36000</v>
      </c>
      <c r="DW117" s="59">
        <f>5*LN(DV117/DT117)+6</f>
        <v>8.3500181462286776</v>
      </c>
      <c r="DX117" s="68">
        <v>0</v>
      </c>
      <c r="DY117" s="61">
        <f>DX117*4500</f>
        <v>0</v>
      </c>
      <c r="DZ117" s="68">
        <v>16</v>
      </c>
      <c r="EA117" s="68">
        <f>EA116+5</f>
        <v>2115</v>
      </c>
      <c r="EB117" s="61">
        <v>20000</v>
      </c>
      <c r="EC117" s="61" t="e">
        <f t="shared" si="19"/>
        <v>#N/A</v>
      </c>
      <c r="ED117" s="60">
        <v>200</v>
      </c>
      <c r="EE117" s="89" t="s">
        <v>54</v>
      </c>
      <c r="EF117" s="90">
        <v>19</v>
      </c>
      <c r="EG117" s="86">
        <v>46331</v>
      </c>
    </row>
    <row r="118" spans="87:137" ht="15">
      <c r="CI118" s="19">
        <v>46332</v>
      </c>
      <c r="CJ118" s="49">
        <v>52</v>
      </c>
      <c r="CK118" s="87">
        <f>BC36</f>
        <v>0</v>
      </c>
      <c r="CL118" s="49">
        <f>DE117</f>
        <v>3656.4512890937567</v>
      </c>
      <c r="CM118" s="42">
        <f t="shared" ref="CM118:CM126" si="24">IF($BR$5="S",DW118,IF($BR$5="F",ED118))</f>
        <v>8.3500181462286776</v>
      </c>
      <c r="CN118" s="43">
        <f>CZ117</f>
        <v>1650.8344843715677</v>
      </c>
      <c r="CO118" s="6">
        <f t="shared" si="13"/>
        <v>0</v>
      </c>
      <c r="CP118" s="65">
        <f>CN118*CO118*CP$54</f>
        <v>0</v>
      </c>
      <c r="CQ118" s="69" t="str">
        <f>IF(CO117&gt;0,CN118*CO117*CQ$54,"")</f>
        <v/>
      </c>
      <c r="CR118" s="69" t="str">
        <f>IF(CO116&gt;0,CN118*CO116*CR$54,"")</f>
        <v/>
      </c>
      <c r="CS118" s="69" t="str">
        <f>IF(CO115&gt;0,CN115*CO115*CS$54,"")</f>
        <v/>
      </c>
      <c r="CT118" s="69" t="str">
        <f>IF(CO114&gt;0,CN114*CO114*CT$54,"")</f>
        <v/>
      </c>
      <c r="CU118" s="46">
        <f>CN118-SUM(CP118:CT118)</f>
        <v>1650.8344843715677</v>
      </c>
      <c r="CV118" s="47">
        <f>DB117</f>
        <v>2093.7589078252204</v>
      </c>
      <c r="CW118" s="47">
        <f t="shared" ref="CW118:CW126" si="25">CU118/CM118</f>
        <v>197.70429901606553</v>
      </c>
      <c r="CX118" s="47">
        <f>CW106</f>
        <v>161.27127416952277</v>
      </c>
      <c r="CY118" s="47">
        <f>(CX118*$BS$41)-CX118</f>
        <v>64.508509667809079</v>
      </c>
      <c r="CZ118" s="49">
        <f t="shared" ref="CZ118:CZ126" si="26">CU118-CW118+CX118+CY118</f>
        <v>1678.9099691928338</v>
      </c>
      <c r="DA118" s="49">
        <f>CZ118-CN118</f>
        <v>28.075484821266173</v>
      </c>
      <c r="DB118" s="47">
        <f t="shared" ref="DB118:DB126" si="27">IF(DB117&lt;2,0,CV118-CX118+CW118)</f>
        <v>2130.1919326717634</v>
      </c>
      <c r="DC118" s="49">
        <f t="shared" ref="DC118:DC126" si="28">DB118-CV118</f>
        <v>36.433024846543049</v>
      </c>
      <c r="DD118" s="50">
        <f>(CN118+CX118*12)*0.025</f>
        <v>89.652244360146028</v>
      </c>
      <c r="DE118" s="49">
        <f t="shared" ref="DE118:DE126" si="29">CZ118+DB118-DD118</f>
        <v>3719.4496575044514</v>
      </c>
      <c r="DF118" s="50">
        <f t="shared" ref="DF118" si="30">DD118</f>
        <v>89.652244360146028</v>
      </c>
      <c r="DG118" s="51" t="e">
        <f>IF(CO117&gt;0,CP117+CQ118+CL117*0.025,NA())</f>
        <v>#N/A</v>
      </c>
      <c r="DH118" s="52"/>
      <c r="DI118" s="53" t="str">
        <f t="shared" si="7"/>
        <v/>
      </c>
      <c r="DJ118" s="54">
        <f>(CL118-CL117)/CL117</f>
        <v>1.7230495963379479E-2</v>
      </c>
      <c r="DK118" s="70"/>
      <c r="DL118" s="55">
        <v>57</v>
      </c>
      <c r="DM118" s="6"/>
      <c r="DN118" s="6"/>
      <c r="DO118" s="6"/>
      <c r="DP118" s="6"/>
      <c r="DQ118" s="88"/>
      <c r="DR118" s="21" t="e">
        <f>IF(CO118=0,NA(),1)</f>
        <v>#N/A</v>
      </c>
      <c r="DS118" s="57">
        <v>5</v>
      </c>
      <c r="DT118" s="58">
        <f>DS118*4500</f>
        <v>22500</v>
      </c>
      <c r="DU118" s="57">
        <v>20</v>
      </c>
      <c r="DV118" s="57">
        <f>DU118*1800</f>
        <v>36000</v>
      </c>
      <c r="DW118" s="59">
        <f>5*LN(DV118/DT118)+6</f>
        <v>8.3500181462286776</v>
      </c>
      <c r="DX118" s="68">
        <v>0</v>
      </c>
      <c r="DY118" s="61">
        <f>DX118*4500</f>
        <v>0</v>
      </c>
      <c r="DZ118" s="68">
        <v>17</v>
      </c>
      <c r="EA118" s="68">
        <f>EA117+5</f>
        <v>2120</v>
      </c>
      <c r="EB118" s="61">
        <v>20000</v>
      </c>
      <c r="EC118" s="61" t="e">
        <f t="shared" si="19"/>
        <v>#N/A</v>
      </c>
      <c r="ED118" s="60">
        <v>200</v>
      </c>
      <c r="EE118" s="89" t="s">
        <v>54</v>
      </c>
      <c r="EF118" s="90">
        <v>20</v>
      </c>
      <c r="EG118" s="86">
        <v>46332</v>
      </c>
    </row>
    <row r="119" spans="87:137" ht="15">
      <c r="CI119" s="19">
        <v>46333</v>
      </c>
      <c r="CJ119" s="49">
        <v>53</v>
      </c>
      <c r="CK119" s="87">
        <f>BD36</f>
        <v>0</v>
      </c>
      <c r="CL119" s="49">
        <f>DE118</f>
        <v>3719.4496575044514</v>
      </c>
      <c r="CM119" s="42">
        <f t="shared" si="24"/>
        <v>8.3500181462286776</v>
      </c>
      <c r="CN119" s="43">
        <f>CZ118</f>
        <v>1678.9099691928338</v>
      </c>
      <c r="CO119" s="6">
        <f t="shared" si="13"/>
        <v>0</v>
      </c>
      <c r="CP119" s="65">
        <f>CN119*CO119*CP$54</f>
        <v>0</v>
      </c>
      <c r="CQ119" s="69" t="str">
        <f>IF(CO118&gt;0,CN119*CO118*CQ$54,"")</f>
        <v/>
      </c>
      <c r="CR119" s="69" t="str">
        <f>IF(CO117&gt;0,CN119*CO117*CR$54,"")</f>
        <v/>
      </c>
      <c r="CS119" s="69" t="str">
        <f>IF(CO116&gt;0,CN116*CO116*CS$54,"")</f>
        <v/>
      </c>
      <c r="CT119" s="69" t="str">
        <f>IF(CO115&gt;0,CN115*CO115*CT$54,"")</f>
        <v/>
      </c>
      <c r="CU119" s="46">
        <f>CN119-SUM(CP119:CT119)</f>
        <v>1678.9099691928338</v>
      </c>
      <c r="CV119" s="47">
        <f>DB118</f>
        <v>2130.1919326717634</v>
      </c>
      <c r="CW119" s="47">
        <f t="shared" si="25"/>
        <v>201.0666252205836</v>
      </c>
      <c r="CX119" s="47">
        <f>IF(BR$5="f",0,CW107)</f>
        <v>164.06898052493557</v>
      </c>
      <c r="CY119" s="47">
        <f>(CX119*$BS$41)-CX119</f>
        <v>65.62759220997421</v>
      </c>
      <c r="CZ119" s="49">
        <f t="shared" si="26"/>
        <v>1707.53991670716</v>
      </c>
      <c r="DA119" s="49">
        <f>CZ119-CN119</f>
        <v>28.629947514326204</v>
      </c>
      <c r="DB119" s="47">
        <f t="shared" si="27"/>
        <v>2167.1895773674114</v>
      </c>
      <c r="DC119" s="49">
        <f t="shared" si="28"/>
        <v>36.997644695647978</v>
      </c>
      <c r="DD119" s="50">
        <f t="shared" ref="DD119:DD126" si="31">(CN119+CX119*12)*0.025</f>
        <v>91.193443387301528</v>
      </c>
      <c r="DE119" s="49">
        <f t="shared" si="29"/>
        <v>3783.5360506872698</v>
      </c>
      <c r="DF119" s="50"/>
      <c r="DG119" s="51" t="e">
        <f>IF(CO118&gt;0,CP118+CQ119+CL118*0.025,NA())</f>
        <v>#N/A</v>
      </c>
      <c r="DH119" s="52"/>
      <c r="DI119" s="53" t="str">
        <f t="shared" si="7"/>
        <v/>
      </c>
      <c r="DJ119" s="54">
        <f t="shared" ref="DJ119:DJ126" si="32">(CL119-CL118)/CL118</f>
        <v>1.7229374448007113E-2</v>
      </c>
      <c r="DK119" s="70"/>
      <c r="DL119" s="55">
        <v>57</v>
      </c>
      <c r="DM119" s="6">
        <f>$BR$7</f>
        <v>0.95</v>
      </c>
      <c r="DN119" s="6"/>
      <c r="DO119" s="6"/>
      <c r="DP119" s="6"/>
      <c r="DQ119" s="6"/>
      <c r="DR119" s="21" t="e">
        <f>IF(CO119=0,NA(),1)</f>
        <v>#N/A</v>
      </c>
      <c r="DS119" s="57">
        <v>5</v>
      </c>
      <c r="DT119" s="58">
        <f t="shared" ref="DT119:DT126" si="33">DS119*4500</f>
        <v>22500</v>
      </c>
      <c r="DU119" s="57">
        <v>20</v>
      </c>
      <c r="DV119" s="57">
        <f t="shared" ref="DV119:DV126" si="34">DU119*1800</f>
        <v>36000</v>
      </c>
      <c r="DW119" s="59">
        <f t="shared" ref="DW119:DW126" si="35">5*LN(DV119/DT119)+6</f>
        <v>8.3500181462286776</v>
      </c>
      <c r="DX119" s="68">
        <v>0</v>
      </c>
      <c r="DY119" s="61">
        <f t="shared" ref="DY119:DY126" si="36">DX119*4500</f>
        <v>0</v>
      </c>
      <c r="DZ119" s="68">
        <v>18</v>
      </c>
      <c r="EA119" s="68">
        <f>EA118+5</f>
        <v>2125</v>
      </c>
      <c r="EB119" s="61">
        <v>20000</v>
      </c>
      <c r="EC119" s="61" t="e">
        <f t="shared" si="19"/>
        <v>#N/A</v>
      </c>
      <c r="ED119" s="60">
        <v>200</v>
      </c>
      <c r="EE119" s="89" t="s">
        <v>54</v>
      </c>
      <c r="EF119" s="90">
        <v>21</v>
      </c>
      <c r="EG119" s="86">
        <v>46333</v>
      </c>
    </row>
    <row r="120" spans="87:137" ht="15">
      <c r="CI120" s="19">
        <v>46334</v>
      </c>
      <c r="CJ120" s="49">
        <v>54</v>
      </c>
      <c r="CK120" s="87">
        <f>BE36</f>
        <v>0</v>
      </c>
      <c r="CL120" s="49">
        <f t="shared" ref="CL120:CL126" si="37">DE119</f>
        <v>3783.5360506872698</v>
      </c>
      <c r="CM120" s="42">
        <f t="shared" si="24"/>
        <v>8.3500181462286776</v>
      </c>
      <c r="CN120" s="43">
        <f t="shared" ref="CN120:CN126" si="38">CZ119</f>
        <v>1707.53991670716</v>
      </c>
      <c r="CO120" s="6">
        <f t="shared" si="13"/>
        <v>0</v>
      </c>
      <c r="CP120" s="65">
        <f>CN120*CO120*CP$54</f>
        <v>0</v>
      </c>
      <c r="CQ120" s="69" t="str">
        <f>IF(CO119&gt;0,CN120*CO119*CQ$54,"")</f>
        <v/>
      </c>
      <c r="CR120" s="69" t="str">
        <f>IF(CO118&gt;0,CN120*CO118*CR$54,"")</f>
        <v/>
      </c>
      <c r="CS120" s="69" t="str">
        <f>IF(CO117&gt;0,CN117*CO117*CS$54,"")</f>
        <v/>
      </c>
      <c r="CT120" s="69" t="str">
        <f>IF(CO116&gt;0,CN116*CO116*CT$54,"")</f>
        <v/>
      </c>
      <c r="CU120" s="46">
        <f>CN120-SUM(CP120:CT120)</f>
        <v>1707.53991670716</v>
      </c>
      <c r="CV120" s="47">
        <f t="shared" ref="CV120:CV126" si="39">DB119</f>
        <v>2167.1895773674114</v>
      </c>
      <c r="CW120" s="47">
        <f t="shared" si="25"/>
        <v>204.49535399852729</v>
      </c>
      <c r="CX120" s="47">
        <f t="shared" ref="CX120:CX126" si="40">IF(BR$5="f",0,CW108)</f>
        <v>166.91767422703052</v>
      </c>
      <c r="CY120" s="47">
        <f t="shared" ref="CY120:CY126" si="41">(CX120*$BS$41)-CX120</f>
        <v>66.767069690812178</v>
      </c>
      <c r="CZ120" s="49">
        <f t="shared" si="26"/>
        <v>1736.7293066264756</v>
      </c>
      <c r="DA120" s="49">
        <f t="shared" ref="DA120:DA126" si="42">CZ120-CN120</f>
        <v>29.189389919315545</v>
      </c>
      <c r="DB120" s="47">
        <f>IF(BR$5="f",0,(IF(DB119&lt;2,0,CV120-CX120+CW120)))</f>
        <v>2204.767257138908</v>
      </c>
      <c r="DC120" s="49">
        <f t="shared" si="28"/>
        <v>37.577679771496605</v>
      </c>
      <c r="DD120" s="50">
        <f t="shared" si="31"/>
        <v>92.76380018578817</v>
      </c>
      <c r="DE120" s="49">
        <f t="shared" si="29"/>
        <v>3848.7327635795955</v>
      </c>
      <c r="DF120" s="50">
        <f t="shared" ref="DF120" si="43">DD120</f>
        <v>92.76380018578817</v>
      </c>
      <c r="DG120" s="51" t="e">
        <f>IF(CO119&gt;0,CP119+CQ120+CL119*0.025,NA())</f>
        <v>#N/A</v>
      </c>
      <c r="DH120" s="52"/>
      <c r="DI120" s="53" t="str">
        <f t="shared" si="7"/>
        <v/>
      </c>
      <c r="DJ120" s="54">
        <f t="shared" si="32"/>
        <v>1.7230074092686329E-2</v>
      </c>
      <c r="DK120" s="41">
        <f>CL120</f>
        <v>3783.5360506872698</v>
      </c>
      <c r="DL120" s="55">
        <v>57</v>
      </c>
      <c r="DM120" s="6"/>
      <c r="DN120" s="6"/>
      <c r="DO120" s="6"/>
      <c r="DP120" s="88"/>
      <c r="DQ120" s="6"/>
      <c r="DR120" s="21" t="e">
        <f>IF(CO120=0,NA(),1)</f>
        <v>#N/A</v>
      </c>
      <c r="DS120" s="57">
        <v>5</v>
      </c>
      <c r="DT120" s="58">
        <f t="shared" si="33"/>
        <v>22500</v>
      </c>
      <c r="DU120" s="57">
        <v>20</v>
      </c>
      <c r="DV120" s="57">
        <f t="shared" si="34"/>
        <v>36000</v>
      </c>
      <c r="DW120" s="59">
        <f t="shared" si="35"/>
        <v>8.3500181462286776</v>
      </c>
      <c r="DX120" s="68">
        <v>0</v>
      </c>
      <c r="DY120" s="61">
        <f t="shared" si="36"/>
        <v>0</v>
      </c>
      <c r="DZ120" s="68">
        <v>19</v>
      </c>
      <c r="EA120" s="68">
        <f t="shared" ref="EA120:EA126" si="44">EA119+5</f>
        <v>2130</v>
      </c>
      <c r="EB120" s="61">
        <v>20000</v>
      </c>
      <c r="EC120" s="61" t="e">
        <f t="shared" si="19"/>
        <v>#N/A</v>
      </c>
      <c r="ED120" s="60">
        <v>200</v>
      </c>
      <c r="EE120" s="89" t="s">
        <v>55</v>
      </c>
      <c r="EF120" s="90">
        <v>22</v>
      </c>
      <c r="EG120" s="86">
        <v>46334</v>
      </c>
    </row>
    <row r="121" spans="87:137" ht="15">
      <c r="CI121" s="19">
        <v>46335</v>
      </c>
      <c r="CJ121" s="49">
        <v>55</v>
      </c>
      <c r="CK121" s="87">
        <f>BF36</f>
        <v>0</v>
      </c>
      <c r="CL121" s="49">
        <f t="shared" si="37"/>
        <v>3848.7327635795955</v>
      </c>
      <c r="CM121" s="42">
        <f t="shared" si="24"/>
        <v>8.3500181462286776</v>
      </c>
      <c r="CN121" s="43">
        <f t="shared" si="38"/>
        <v>1736.7293066264756</v>
      </c>
      <c r="CO121" s="6">
        <f t="shared" si="13"/>
        <v>0</v>
      </c>
      <c r="CP121" s="65">
        <f>CN121*CO121*CP$54</f>
        <v>0</v>
      </c>
      <c r="CQ121" s="69" t="str">
        <f>IF(CO120&gt;0,CN121*CO120*CQ$54,"")</f>
        <v/>
      </c>
      <c r="CR121" s="69" t="str">
        <f>IF(CO119&gt;0,CN121*CO119*CR$54,"")</f>
        <v/>
      </c>
      <c r="CS121" s="69" t="str">
        <f>IF(CO118&gt;0,CN118*CO118*CS$54,"")</f>
        <v/>
      </c>
      <c r="CT121" s="69" t="str">
        <f>IF(CO117&gt;0,CN117*CO117*CT$54,"")</f>
        <v/>
      </c>
      <c r="CU121" s="46">
        <f>CN121-SUM(CP121:CT121)</f>
        <v>1736.7293066264756</v>
      </c>
      <c r="CV121" s="47">
        <f t="shared" si="39"/>
        <v>2204.767257138908</v>
      </c>
      <c r="CW121" s="47">
        <f t="shared" si="25"/>
        <v>207.99108172128669</v>
      </c>
      <c r="CX121" s="47">
        <f t="shared" si="40"/>
        <v>169.81073334751457</v>
      </c>
      <c r="CY121" s="47">
        <f t="shared" si="41"/>
        <v>67.9242933390058</v>
      </c>
      <c r="CZ121" s="49">
        <f t="shared" si="26"/>
        <v>1766.4732515917092</v>
      </c>
      <c r="DA121" s="49">
        <f t="shared" si="42"/>
        <v>29.743944965233595</v>
      </c>
      <c r="DB121" s="47">
        <f t="shared" si="27"/>
        <v>2242.9476055126802</v>
      </c>
      <c r="DC121" s="49">
        <f t="shared" si="28"/>
        <v>38.180348373772176</v>
      </c>
      <c r="DD121" s="50">
        <f t="shared" si="31"/>
        <v>94.361452669916275</v>
      </c>
      <c r="DE121" s="49">
        <f t="shared" si="29"/>
        <v>3915.059404434473</v>
      </c>
      <c r="DF121" s="50"/>
      <c r="DG121" s="51" t="e">
        <f>IF(CO120&gt;0,CP120+CQ121+CL120*0.025,NA())</f>
        <v>#N/A</v>
      </c>
      <c r="DH121" s="52"/>
      <c r="DI121" s="53" t="str">
        <f t="shared" si="7"/>
        <v/>
      </c>
      <c r="DJ121" s="54">
        <f t="shared" si="32"/>
        <v>1.7231688034393865E-2</v>
      </c>
      <c r="DK121" s="41"/>
      <c r="DL121" s="55">
        <v>57</v>
      </c>
      <c r="DM121" s="6"/>
      <c r="DN121" s="6">
        <f>$BR$7</f>
        <v>0.95</v>
      </c>
      <c r="DO121" s="88"/>
      <c r="DP121" s="6"/>
      <c r="DQ121" s="88"/>
      <c r="DR121" s="21" t="e">
        <f>IF(CO121=0,NA(),1)</f>
        <v>#N/A</v>
      </c>
      <c r="DS121" s="57">
        <v>5</v>
      </c>
      <c r="DT121" s="58">
        <f t="shared" si="33"/>
        <v>22500</v>
      </c>
      <c r="DU121" s="57">
        <v>20</v>
      </c>
      <c r="DV121" s="57">
        <f t="shared" si="34"/>
        <v>36000</v>
      </c>
      <c r="DW121" s="59">
        <f t="shared" si="35"/>
        <v>8.3500181462286776</v>
      </c>
      <c r="DX121" s="68">
        <v>0</v>
      </c>
      <c r="DY121" s="61">
        <f t="shared" si="36"/>
        <v>0</v>
      </c>
      <c r="DZ121" s="68">
        <v>20</v>
      </c>
      <c r="EA121" s="68">
        <f t="shared" si="44"/>
        <v>2135</v>
      </c>
      <c r="EB121" s="61">
        <v>20000</v>
      </c>
      <c r="EC121" s="61" t="e">
        <f t="shared" si="19"/>
        <v>#N/A</v>
      </c>
      <c r="ED121" s="60">
        <v>200</v>
      </c>
      <c r="EE121" s="89" t="s">
        <v>55</v>
      </c>
      <c r="EF121" s="90">
        <v>23</v>
      </c>
      <c r="EG121" s="86">
        <v>46335</v>
      </c>
    </row>
    <row r="122" spans="87:137" ht="15">
      <c r="CI122" s="19">
        <v>46336</v>
      </c>
      <c r="CJ122" s="49">
        <v>56</v>
      </c>
      <c r="CK122" s="87">
        <f>BG36</f>
        <v>0</v>
      </c>
      <c r="CL122" s="49">
        <f t="shared" si="37"/>
        <v>3915.059404434473</v>
      </c>
      <c r="CM122" s="42">
        <f t="shared" si="24"/>
        <v>8.3500181462286776</v>
      </c>
      <c r="CN122" s="43">
        <f t="shared" si="38"/>
        <v>1766.4732515917092</v>
      </c>
      <c r="CO122" s="6">
        <f t="shared" si="13"/>
        <v>0</v>
      </c>
      <c r="CP122" s="65">
        <f>CN122*CO122*CP$54</f>
        <v>0</v>
      </c>
      <c r="CQ122" s="69" t="str">
        <f>IF(CO121&gt;0,CN122*CO121*CQ$54,"")</f>
        <v/>
      </c>
      <c r="CR122" s="69" t="str">
        <f>IF(CO120&gt;0,CN122*CO120*CR$54,"")</f>
        <v/>
      </c>
      <c r="CS122" s="69" t="str">
        <f>IF(CO119&gt;0,CN119*CO119*CS$54,"")</f>
        <v/>
      </c>
      <c r="CT122" s="69" t="str">
        <f>IF(CO118&gt;0,CN118*CO118*CT$54,"")</f>
        <v/>
      </c>
      <c r="CU122" s="46">
        <f>CN122-SUM(CP122:CT122)</f>
        <v>1766.4732515917092</v>
      </c>
      <c r="CV122" s="47">
        <f t="shared" si="39"/>
        <v>2242.9476055126802</v>
      </c>
      <c r="CW122" s="47">
        <f t="shared" si="25"/>
        <v>211.55322307767014</v>
      </c>
      <c r="CX122" s="47">
        <f t="shared" si="40"/>
        <v>172.74352903573097</v>
      </c>
      <c r="CY122" s="47">
        <f t="shared" si="41"/>
        <v>69.097411614292383</v>
      </c>
      <c r="CZ122" s="49">
        <f t="shared" si="26"/>
        <v>1796.7609691640625</v>
      </c>
      <c r="DA122" s="49">
        <f t="shared" si="42"/>
        <v>30.287717572353358</v>
      </c>
      <c r="DB122" s="47">
        <f t="shared" si="27"/>
        <v>2281.7572995546193</v>
      </c>
      <c r="DC122" s="49">
        <f t="shared" si="28"/>
        <v>38.80969404193911</v>
      </c>
      <c r="DD122" s="50">
        <f t="shared" si="31"/>
        <v>95.984890000512024</v>
      </c>
      <c r="DE122" s="49">
        <f t="shared" si="29"/>
        <v>3982.5333787181694</v>
      </c>
      <c r="DF122" s="50">
        <f t="shared" ref="DF122" si="45">DD122</f>
        <v>95.984890000512024</v>
      </c>
      <c r="DG122" s="51" t="e">
        <f>IF(CO121&gt;0,CP121+CQ122+CL121*0.025,NA())</f>
        <v>#N/A</v>
      </c>
      <c r="DH122" s="52"/>
      <c r="DI122" s="53" t="str">
        <f t="shared" si="7"/>
        <v/>
      </c>
      <c r="DJ122" s="54">
        <f t="shared" si="32"/>
        <v>1.7233371327446751E-2</v>
      </c>
      <c r="DK122" s="41"/>
      <c r="DL122" s="55">
        <v>57</v>
      </c>
      <c r="DM122" s="6"/>
      <c r="DN122" s="6"/>
      <c r="DO122" s="6"/>
      <c r="DP122" s="88"/>
      <c r="DQ122" s="88"/>
      <c r="DR122" s="21" t="e">
        <f>IF(CO122=0,NA(),1)</f>
        <v>#N/A</v>
      </c>
      <c r="DS122" s="57">
        <v>5</v>
      </c>
      <c r="DT122" s="58">
        <f t="shared" si="33"/>
        <v>22500</v>
      </c>
      <c r="DU122" s="57">
        <v>20</v>
      </c>
      <c r="DV122" s="57">
        <f t="shared" si="34"/>
        <v>36000</v>
      </c>
      <c r="DW122" s="59">
        <f t="shared" si="35"/>
        <v>8.3500181462286776</v>
      </c>
      <c r="DX122" s="68">
        <v>0</v>
      </c>
      <c r="DY122" s="61">
        <f t="shared" si="36"/>
        <v>0</v>
      </c>
      <c r="DZ122" s="68">
        <v>21</v>
      </c>
      <c r="EA122" s="68">
        <f t="shared" si="44"/>
        <v>2140</v>
      </c>
      <c r="EB122" s="61">
        <v>20000</v>
      </c>
      <c r="EC122" s="61" t="e">
        <f t="shared" si="19"/>
        <v>#N/A</v>
      </c>
      <c r="ED122" s="60">
        <v>200</v>
      </c>
      <c r="EE122" s="89" t="s">
        <v>55</v>
      </c>
      <c r="EF122" s="90">
        <v>24</v>
      </c>
      <c r="EG122" s="86">
        <v>46336</v>
      </c>
    </row>
    <row r="123" spans="87:137" ht="15">
      <c r="CI123" s="19">
        <v>46337</v>
      </c>
      <c r="CJ123" s="49">
        <v>57</v>
      </c>
      <c r="CK123" s="87">
        <f>BH36</f>
        <v>0</v>
      </c>
      <c r="CL123" s="49">
        <f t="shared" si="37"/>
        <v>3982.5333787181694</v>
      </c>
      <c r="CM123" s="42">
        <f t="shared" si="24"/>
        <v>8.3500181462286776</v>
      </c>
      <c r="CN123" s="43">
        <f t="shared" si="38"/>
        <v>1796.7609691640625</v>
      </c>
      <c r="CO123" s="6">
        <f t="shared" si="13"/>
        <v>0</v>
      </c>
      <c r="CP123" s="65">
        <f>CN123*CO123*CP$54</f>
        <v>0</v>
      </c>
      <c r="CQ123" s="69" t="str">
        <f>IF(CO122&gt;0,CN123*CO122*CQ$54,"")</f>
        <v/>
      </c>
      <c r="CR123" s="69" t="str">
        <f>IF(CO121&gt;0,CN123*CO121*CR$54,"")</f>
        <v/>
      </c>
      <c r="CS123" s="69" t="str">
        <f>IF(CO120&gt;0,CN120*CO120*CS$54,"")</f>
        <v/>
      </c>
      <c r="CT123" s="69" t="str">
        <f>IF(CO119&gt;0,CN119*CO119*CT$54,"")</f>
        <v/>
      </c>
      <c r="CU123" s="46">
        <f>CN123-SUM(CP123:CT123)</f>
        <v>1796.7609691640625</v>
      </c>
      <c r="CV123" s="47">
        <f t="shared" si="39"/>
        <v>2281.7572995546193</v>
      </c>
      <c r="CW123" s="47">
        <f t="shared" si="25"/>
        <v>215.18048676044825</v>
      </c>
      <c r="CX123" s="47">
        <f t="shared" si="40"/>
        <v>175.71364407179502</v>
      </c>
      <c r="CY123" s="47">
        <f t="shared" si="41"/>
        <v>70.285457628717978</v>
      </c>
      <c r="CZ123" s="49">
        <f t="shared" si="26"/>
        <v>1827.5795841041272</v>
      </c>
      <c r="DA123" s="49">
        <f t="shared" si="42"/>
        <v>30.818614940064663</v>
      </c>
      <c r="DB123" s="47">
        <f t="shared" si="27"/>
        <v>2321.2241422432726</v>
      </c>
      <c r="DC123" s="49">
        <f t="shared" si="28"/>
        <v>39.466842688653287</v>
      </c>
      <c r="DD123" s="50">
        <f t="shared" si="31"/>
        <v>97.633117450640071</v>
      </c>
      <c r="DE123" s="49">
        <f t="shared" si="29"/>
        <v>4051.1706088967599</v>
      </c>
      <c r="DF123" s="50"/>
      <c r="DG123" s="51" t="e">
        <f>IF(CO122&gt;0,CP122+CQ123+CL122*0.025,NA())</f>
        <v>#N/A</v>
      </c>
      <c r="DH123" s="52"/>
      <c r="DI123" s="53" t="str">
        <f t="shared" si="7"/>
        <v/>
      </c>
      <c r="DJ123" s="54">
        <f t="shared" si="32"/>
        <v>1.7234470109769116E-2</v>
      </c>
      <c r="DK123" s="41"/>
      <c r="DL123" s="55">
        <v>57</v>
      </c>
      <c r="DM123" s="6">
        <f>$BR$7</f>
        <v>0.95</v>
      </c>
      <c r="DN123" s="6"/>
      <c r="DO123" s="6">
        <f>$BR$7</f>
        <v>0.95</v>
      </c>
      <c r="DP123" s="6"/>
      <c r="DQ123" s="6">
        <f>$BR$7</f>
        <v>0.95</v>
      </c>
      <c r="DR123" s="21" t="e">
        <f>IF(CO123=0,NA(),1)</f>
        <v>#N/A</v>
      </c>
      <c r="DS123" s="57">
        <v>5</v>
      </c>
      <c r="DT123" s="58">
        <f t="shared" si="33"/>
        <v>22500</v>
      </c>
      <c r="DU123" s="57">
        <v>20</v>
      </c>
      <c r="DV123" s="57">
        <f t="shared" si="34"/>
        <v>36000</v>
      </c>
      <c r="DW123" s="59">
        <f t="shared" si="35"/>
        <v>8.3500181462286776</v>
      </c>
      <c r="DX123" s="68">
        <v>0</v>
      </c>
      <c r="DY123" s="61">
        <f t="shared" si="36"/>
        <v>0</v>
      </c>
      <c r="DZ123" s="68">
        <v>22</v>
      </c>
      <c r="EA123" s="68">
        <f t="shared" si="44"/>
        <v>2145</v>
      </c>
      <c r="EB123" s="61">
        <v>20000</v>
      </c>
      <c r="EC123" s="61" t="e">
        <f t="shared" si="19"/>
        <v>#N/A</v>
      </c>
      <c r="ED123" s="60">
        <v>200</v>
      </c>
      <c r="EE123" s="89" t="s">
        <v>55</v>
      </c>
      <c r="EF123" s="90">
        <v>25</v>
      </c>
      <c r="EG123" s="86">
        <v>46337</v>
      </c>
    </row>
    <row r="124" spans="87:137" ht="15">
      <c r="CI124" s="19">
        <v>46338</v>
      </c>
      <c r="CJ124" s="49">
        <v>58</v>
      </c>
      <c r="CK124" s="87">
        <f>BI36</f>
        <v>0</v>
      </c>
      <c r="CL124" s="49">
        <f t="shared" si="37"/>
        <v>4051.1706088967599</v>
      </c>
      <c r="CM124" s="42">
        <f t="shared" si="24"/>
        <v>8.3500181462286776</v>
      </c>
      <c r="CN124" s="43">
        <f t="shared" si="38"/>
        <v>1827.5795841041272</v>
      </c>
      <c r="CO124" s="6">
        <f t="shared" si="13"/>
        <v>0</v>
      </c>
      <c r="CP124" s="65">
        <f>CN124*CO124*CP$54</f>
        <v>0</v>
      </c>
      <c r="CQ124" s="69" t="str">
        <f>IF(CO123&gt;0,CN124*CO123*CQ$54,"")</f>
        <v/>
      </c>
      <c r="CR124" s="69" t="str">
        <f>IF(CO122&gt;0,CN124*CO122*CR$54,"")</f>
        <v/>
      </c>
      <c r="CS124" s="69" t="str">
        <f>IF(CO121&gt;0,CN121*CO121*CS$54,"")</f>
        <v/>
      </c>
      <c r="CT124" s="69" t="str">
        <f>IF(CO120&gt;0,CN120*CO120*CT$54,"")</f>
        <v/>
      </c>
      <c r="CU124" s="46">
        <f>CN124-SUM(CP124:CT124)</f>
        <v>1827.5795841041272</v>
      </c>
      <c r="CV124" s="47">
        <f t="shared" si="39"/>
        <v>2321.2241422432726</v>
      </c>
      <c r="CW124" s="47">
        <f t="shared" si="25"/>
        <v>218.87133082813259</v>
      </c>
      <c r="CX124" s="47">
        <f t="shared" si="40"/>
        <v>178.72076160533248</v>
      </c>
      <c r="CY124" s="47">
        <f t="shared" si="41"/>
        <v>71.488304642132988</v>
      </c>
      <c r="CZ124" s="49">
        <f t="shared" si="26"/>
        <v>1858.91731952346</v>
      </c>
      <c r="DA124" s="49">
        <f t="shared" si="42"/>
        <v>31.33773541933283</v>
      </c>
      <c r="DB124" s="47">
        <f t="shared" si="27"/>
        <v>2361.3747114660728</v>
      </c>
      <c r="DC124" s="49">
        <f t="shared" si="28"/>
        <v>40.150569222800186</v>
      </c>
      <c r="DD124" s="50">
        <f t="shared" si="31"/>
        <v>99.305718084202937</v>
      </c>
      <c r="DE124" s="49">
        <f t="shared" si="29"/>
        <v>4120.9863129053292</v>
      </c>
      <c r="DF124" s="50">
        <f t="shared" ref="DF124" si="46">DD124</f>
        <v>99.305718084202937</v>
      </c>
      <c r="DG124" s="51" t="e">
        <f>IF(CO123&gt;0,CP123+CQ124+CL123*0.025,NA())</f>
        <v>#N/A</v>
      </c>
      <c r="DH124" s="52"/>
      <c r="DI124" s="53" t="str">
        <f t="shared" si="7"/>
        <v/>
      </c>
      <c r="DJ124" s="54">
        <f t="shared" si="32"/>
        <v>1.72345649493796E-2</v>
      </c>
      <c r="DK124" s="41"/>
      <c r="DL124" s="55">
        <v>57</v>
      </c>
      <c r="DM124" s="6"/>
      <c r="DN124" s="6"/>
      <c r="DO124" s="6"/>
      <c r="DP124" s="6"/>
      <c r="DQ124" s="6"/>
      <c r="DR124" s="21" t="e">
        <f>IF(CO124=0,NA(),1)</f>
        <v>#N/A</v>
      </c>
      <c r="DS124" s="57">
        <v>5</v>
      </c>
      <c r="DT124" s="58">
        <f t="shared" si="33"/>
        <v>22500</v>
      </c>
      <c r="DU124" s="57">
        <v>20</v>
      </c>
      <c r="DV124" s="57">
        <f t="shared" si="34"/>
        <v>36000</v>
      </c>
      <c r="DW124" s="59">
        <f t="shared" si="35"/>
        <v>8.3500181462286776</v>
      </c>
      <c r="DX124" s="68">
        <v>0</v>
      </c>
      <c r="DY124" s="61">
        <f t="shared" si="36"/>
        <v>0</v>
      </c>
      <c r="DZ124" s="68">
        <v>23</v>
      </c>
      <c r="EA124" s="68">
        <f t="shared" si="44"/>
        <v>2150</v>
      </c>
      <c r="EB124" s="61">
        <v>20000</v>
      </c>
      <c r="EC124" s="61" t="e">
        <f t="shared" si="19"/>
        <v>#N/A</v>
      </c>
      <c r="ED124" s="60">
        <v>200</v>
      </c>
      <c r="EE124" s="89" t="s">
        <v>55</v>
      </c>
      <c r="EF124" s="90">
        <v>26</v>
      </c>
      <c r="EG124" s="86">
        <v>46338</v>
      </c>
    </row>
    <row r="125" spans="87:137" ht="15">
      <c r="CI125" s="19">
        <v>46339</v>
      </c>
      <c r="CJ125" s="49">
        <v>59</v>
      </c>
      <c r="CK125" s="87">
        <f>BJ36</f>
        <v>0</v>
      </c>
      <c r="CL125" s="49">
        <f t="shared" si="37"/>
        <v>4120.9863129053292</v>
      </c>
      <c r="CM125" s="42">
        <f t="shared" si="24"/>
        <v>8.3500181462286776</v>
      </c>
      <c r="CN125" s="43">
        <f t="shared" si="38"/>
        <v>1858.91731952346</v>
      </c>
      <c r="CO125" s="6">
        <f t="shared" si="13"/>
        <v>0</v>
      </c>
      <c r="CP125" s="65">
        <f>CN125*CO125*CP$54</f>
        <v>0</v>
      </c>
      <c r="CQ125" s="69" t="str">
        <f>IF(CO124&gt;0,CN125*CO124*CQ$54,"")</f>
        <v/>
      </c>
      <c r="CR125" s="69" t="str">
        <f>IF(CO123&gt;0,CN125*CO123*CR$54,"")</f>
        <v/>
      </c>
      <c r="CS125" s="69" t="str">
        <f>IF(CO122&gt;0,CN122*CO122*CS$54,"")</f>
        <v/>
      </c>
      <c r="CT125" s="69" t="str">
        <f>IF(CO121&gt;0,CN121*CO121*CT$54,"")</f>
        <v/>
      </c>
      <c r="CU125" s="46">
        <f>CN125-SUM(CP125:CT125)</f>
        <v>1858.91731952346</v>
      </c>
      <c r="CV125" s="47">
        <f t="shared" si="39"/>
        <v>2361.3747114660728</v>
      </c>
      <c r="CW125" s="47">
        <f t="shared" si="25"/>
        <v>222.62434487798666</v>
      </c>
      <c r="CX125" s="47">
        <f t="shared" si="40"/>
        <v>181.76637503683071</v>
      </c>
      <c r="CY125" s="47">
        <f t="shared" si="41"/>
        <v>72.706550014732272</v>
      </c>
      <c r="CZ125" s="49">
        <f t="shared" si="26"/>
        <v>1890.7658996970363</v>
      </c>
      <c r="DA125" s="49">
        <f t="shared" si="42"/>
        <v>31.848580173576238</v>
      </c>
      <c r="DB125" s="47">
        <f t="shared" si="27"/>
        <v>2402.2326813072286</v>
      </c>
      <c r="DC125" s="49">
        <f t="shared" si="28"/>
        <v>40.857969841155864</v>
      </c>
      <c r="DD125" s="50">
        <f t="shared" si="31"/>
        <v>101.00284549913573</v>
      </c>
      <c r="DE125" s="49">
        <f t="shared" si="29"/>
        <v>4191.9957355051292</v>
      </c>
      <c r="DF125" s="50"/>
      <c r="DG125" s="51" t="e">
        <f>IF(CO124&gt;0,CP124+CQ125+CL124*0.025,NA())</f>
        <v>#N/A</v>
      </c>
      <c r="DH125" s="52"/>
      <c r="DI125" s="53" t="str">
        <f t="shared" si="7"/>
        <v/>
      </c>
      <c r="DJ125" s="54">
        <f t="shared" si="32"/>
        <v>1.7233464286902003E-2</v>
      </c>
      <c r="DK125" s="41"/>
      <c r="DL125" s="55">
        <v>57</v>
      </c>
      <c r="DM125" s="6"/>
      <c r="DN125" s="6"/>
      <c r="DO125" s="6"/>
      <c r="DP125" s="6">
        <f>$BR$7</f>
        <v>0.95</v>
      </c>
      <c r="DQ125" s="6"/>
      <c r="DR125" s="21" t="e">
        <f>IF(CO125=0,NA(),1)</f>
        <v>#N/A</v>
      </c>
      <c r="DS125" s="57">
        <v>5</v>
      </c>
      <c r="DT125" s="58">
        <f t="shared" si="33"/>
        <v>22500</v>
      </c>
      <c r="DU125" s="57">
        <v>20</v>
      </c>
      <c r="DV125" s="57">
        <f t="shared" si="34"/>
        <v>36000</v>
      </c>
      <c r="DW125" s="59">
        <f t="shared" si="35"/>
        <v>8.3500181462286776</v>
      </c>
      <c r="DX125" s="68">
        <v>0</v>
      </c>
      <c r="DY125" s="61">
        <f t="shared" si="36"/>
        <v>0</v>
      </c>
      <c r="DZ125" s="68">
        <v>24</v>
      </c>
      <c r="EA125" s="68">
        <f t="shared" si="44"/>
        <v>2155</v>
      </c>
      <c r="EB125" s="61">
        <v>20000</v>
      </c>
      <c r="EC125" s="61" t="e">
        <f t="shared" si="19"/>
        <v>#N/A</v>
      </c>
      <c r="ED125" s="60">
        <v>200</v>
      </c>
      <c r="EE125" s="89" t="s">
        <v>55</v>
      </c>
      <c r="EF125" s="90">
        <v>27</v>
      </c>
      <c r="EG125" s="86">
        <v>46339</v>
      </c>
    </row>
    <row r="126" spans="87:137">
      <c r="CI126" s="19">
        <v>46340</v>
      </c>
      <c r="CJ126" s="49">
        <v>60</v>
      </c>
      <c r="CK126" s="21"/>
      <c r="CL126" s="49">
        <f t="shared" si="37"/>
        <v>4191.9957355051292</v>
      </c>
      <c r="CM126" s="42">
        <f t="shared" si="24"/>
        <v>8.3500181462286776</v>
      </c>
      <c r="CN126" s="43">
        <f t="shared" si="38"/>
        <v>1890.7658996970363</v>
      </c>
      <c r="CO126" s="6">
        <f t="shared" si="13"/>
        <v>0</v>
      </c>
      <c r="CP126" s="65">
        <f>CN126*CO126*CP$54</f>
        <v>0</v>
      </c>
      <c r="CQ126" s="69" t="str">
        <f>IF(CO125&gt;0,CN126*CO125*CQ$54,"")</f>
        <v/>
      </c>
      <c r="CR126" s="69" t="str">
        <f>IF(CO124&gt;0,CN126*CO124*CR$54,"")</f>
        <v/>
      </c>
      <c r="CS126" s="69" t="str">
        <f>IF(CO123&gt;0,CN123*CO123*CS$54,"")</f>
        <v/>
      </c>
      <c r="CT126" s="69" t="str">
        <f>IF(CO122&gt;0,CN122*CO122*CT$54,"")</f>
        <v/>
      </c>
      <c r="CU126" s="46">
        <f>CN126-SUM(CP126:CT126)</f>
        <v>1890.7658996970363</v>
      </c>
      <c r="CV126" s="47">
        <f t="shared" si="39"/>
        <v>2402.2326813072286</v>
      </c>
      <c r="CW126" s="47">
        <f t="shared" si="25"/>
        <v>226.43853780737101</v>
      </c>
      <c r="CX126" s="47">
        <f t="shared" si="40"/>
        <v>184.85341890601947</v>
      </c>
      <c r="CY126" s="47">
        <f t="shared" si="41"/>
        <v>73.941367562407748</v>
      </c>
      <c r="CZ126" s="49">
        <f t="shared" si="26"/>
        <v>1923.1221483580925</v>
      </c>
      <c r="DA126" s="49">
        <f t="shared" si="42"/>
        <v>32.35624866105627</v>
      </c>
      <c r="DB126" s="47">
        <f t="shared" si="27"/>
        <v>2443.8178002085801</v>
      </c>
      <c r="DC126" s="49">
        <f t="shared" si="28"/>
        <v>41.585118901351507</v>
      </c>
      <c r="DD126" s="50">
        <f t="shared" si="31"/>
        <v>102.72517316423176</v>
      </c>
      <c r="DE126" s="49">
        <f t="shared" si="29"/>
        <v>4264.2147754024409</v>
      </c>
      <c r="DF126" s="50">
        <f t="shared" ref="DF126" si="47">DD126</f>
        <v>102.72517316423176</v>
      </c>
      <c r="DG126" s="51" t="e">
        <f>IF(CO125&gt;0,CP125+CQ126+CL125*0.025,NA())</f>
        <v>#N/A</v>
      </c>
      <c r="DH126" s="52">
        <f>IF($BR$5="F",315*CZ126/EB126,315*CZ126/DV126)</f>
        <v>16.827318798133312</v>
      </c>
      <c r="DI126" s="53" t="str">
        <f t="shared" si="7"/>
        <v/>
      </c>
      <c r="DJ126" s="54">
        <f t="shared" si="32"/>
        <v>1.7231171668157713E-2</v>
      </c>
      <c r="DK126" s="41">
        <f>CL126</f>
        <v>4191.9957355051292</v>
      </c>
      <c r="DL126" s="55">
        <v>57</v>
      </c>
      <c r="DM126" s="6"/>
      <c r="DN126" s="6">
        <f>$BR$7</f>
        <v>0.95</v>
      </c>
      <c r="DO126" s="6"/>
      <c r="DP126" s="6"/>
      <c r="DQ126" s="6"/>
      <c r="DR126" s="21" t="e">
        <f>IF(CO126=0,NA(),1)</f>
        <v>#N/A</v>
      </c>
      <c r="DS126" s="57">
        <v>5</v>
      </c>
      <c r="DT126" s="58">
        <f t="shared" si="33"/>
        <v>22500</v>
      </c>
      <c r="DU126" s="57">
        <v>20</v>
      </c>
      <c r="DV126" s="57">
        <f t="shared" si="34"/>
        <v>36000</v>
      </c>
      <c r="DW126" s="59">
        <f t="shared" si="35"/>
        <v>8.3500181462286776</v>
      </c>
      <c r="DX126" s="68">
        <v>0</v>
      </c>
      <c r="DY126" s="61">
        <f t="shared" si="36"/>
        <v>0</v>
      </c>
      <c r="DZ126" s="68">
        <v>25</v>
      </c>
      <c r="EA126" s="68">
        <f t="shared" si="44"/>
        <v>2160</v>
      </c>
      <c r="EB126" s="61">
        <v>20000</v>
      </c>
      <c r="EC126" s="61" t="e">
        <f t="shared" si="19"/>
        <v>#N/A</v>
      </c>
      <c r="ED126" s="60">
        <v>200</v>
      </c>
      <c r="EE126" s="89" t="s">
        <v>55</v>
      </c>
      <c r="EF126" s="90">
        <v>28</v>
      </c>
      <c r="EG126" s="86">
        <v>46340</v>
      </c>
    </row>
    <row r="127" spans="87:137" ht="51">
      <c r="CL127" s="30" t="s">
        <v>15</v>
      </c>
      <c r="CM127" s="30" t="s">
        <v>16</v>
      </c>
      <c r="CN127" s="31" t="s">
        <v>17</v>
      </c>
      <c r="CO127" s="32" t="s">
        <v>59</v>
      </c>
      <c r="CP127" s="32" t="s">
        <v>60</v>
      </c>
      <c r="CQ127" s="32" t="s">
        <v>60</v>
      </c>
      <c r="CR127" s="32" t="s">
        <v>60</v>
      </c>
      <c r="CS127" s="32" t="s">
        <v>60</v>
      </c>
      <c r="CT127" s="32" t="s">
        <v>60</v>
      </c>
      <c r="CU127" s="125" t="s">
        <v>18</v>
      </c>
      <c r="CV127" s="33" t="s">
        <v>19</v>
      </c>
      <c r="CW127" s="33" t="s">
        <v>20</v>
      </c>
      <c r="CX127" s="33" t="s">
        <v>58</v>
      </c>
      <c r="CY127" s="33" t="s">
        <v>21</v>
      </c>
      <c r="CZ127" s="30" t="s">
        <v>22</v>
      </c>
      <c r="DA127" s="30" t="s">
        <v>23</v>
      </c>
      <c r="DB127" s="33" t="s">
        <v>24</v>
      </c>
      <c r="DC127" s="30" t="s">
        <v>25</v>
      </c>
      <c r="DD127" s="34" t="s">
        <v>61</v>
      </c>
      <c r="DE127" s="30" t="s">
        <v>26</v>
      </c>
      <c r="DF127" s="34" t="s">
        <v>62</v>
      </c>
      <c r="DG127" s="35" t="s">
        <v>27</v>
      </c>
      <c r="DH127" s="35" t="s">
        <v>63</v>
      </c>
      <c r="DI127" s="34" t="s">
        <v>28</v>
      </c>
      <c r="DJ127" s="36" t="s">
        <v>29</v>
      </c>
      <c r="DK127" s="37" t="s">
        <v>30</v>
      </c>
      <c r="DL127" s="30" t="s">
        <v>13</v>
      </c>
      <c r="DM127" s="32" t="s">
        <v>31</v>
      </c>
      <c r="DN127" s="32" t="s">
        <v>32</v>
      </c>
      <c r="DO127" s="32" t="s">
        <v>33</v>
      </c>
      <c r="DP127" s="32" t="s">
        <v>34</v>
      </c>
      <c r="DQ127" s="32" t="s">
        <v>35</v>
      </c>
      <c r="DR127" s="32" t="s">
        <v>36</v>
      </c>
      <c r="DS127" s="38" t="s">
        <v>37</v>
      </c>
      <c r="DT127" s="38" t="s">
        <v>67</v>
      </c>
      <c r="DU127" s="38" t="s">
        <v>38</v>
      </c>
      <c r="DV127" s="38" t="s">
        <v>68</v>
      </c>
      <c r="DW127" s="38" t="s">
        <v>39</v>
      </c>
      <c r="DX127" s="39" t="s">
        <v>37</v>
      </c>
      <c r="DY127" s="39" t="s">
        <v>67</v>
      </c>
      <c r="DZ127" s="39" t="s">
        <v>38</v>
      </c>
      <c r="EA127" s="39" t="s">
        <v>40</v>
      </c>
      <c r="EB127" s="39" t="s">
        <v>41</v>
      </c>
      <c r="EC127" s="39" t="s">
        <v>42</v>
      </c>
      <c r="ED127" s="39" t="s">
        <v>39</v>
      </c>
      <c r="EE127" s="39" t="s">
        <v>43</v>
      </c>
      <c r="EF127" s="39"/>
      <c r="EG127" s="30" t="s">
        <v>44</v>
      </c>
    </row>
    <row r="130" spans="102:102">
      <c r="CX130" s="23" t="s">
        <v>65</v>
      </c>
    </row>
  </sheetData>
  <mergeCells count="19">
    <mergeCell ref="BK36:BP36"/>
    <mergeCell ref="CU51:CU52"/>
    <mergeCell ref="BT39:CF40"/>
    <mergeCell ref="BS39:BS40"/>
    <mergeCell ref="BQ39:BR41"/>
    <mergeCell ref="DX52:EF52"/>
    <mergeCell ref="M3:P3"/>
    <mergeCell ref="Q3:U3"/>
    <mergeCell ref="BQ4:BR4"/>
    <mergeCell ref="DS52:DW52"/>
    <mergeCell ref="L2:AX2"/>
    <mergeCell ref="CK53:CK62"/>
    <mergeCell ref="B37:C37"/>
    <mergeCell ref="BQ43:BR44"/>
    <mergeCell ref="BS43:BS44"/>
    <mergeCell ref="CH63:CI63"/>
    <mergeCell ref="CK63:CK66"/>
    <mergeCell ref="BT43:CF44"/>
    <mergeCell ref="BT41:BZ41"/>
  </mergeCells>
  <pageMargins left="0.7" right="0.7" top="0.75" bottom="0.75" header="0.3" footer="0.3"/>
  <pageSetup paperSize="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OAV 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Randy Oliver</dc:creator>
  <cp:keywords/>
  <dc:description/>
  <cp:lastModifiedBy>Randy Oliver</cp:lastModifiedBy>
  <cp:revision/>
  <dcterms:created xsi:type="dcterms:W3CDTF">2026-03-02T03:51:41Z</dcterms:created>
  <dcterms:modified xsi:type="dcterms:W3CDTF">2026-03-03T13:29:42Z</dcterms:modified>
  <cp:category/>
  <cp:contentStatus/>
</cp:coreProperties>
</file>