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drawings/drawing6.xml" ContentType="application/vnd.openxmlformats-officedocument.drawingml.chartshapes+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17.xml" ContentType="application/vnd.openxmlformats-officedocument.drawingml.chart+xml"/>
  <Override PartName="/xl/drawings/drawing11.xml" ContentType="application/vnd.openxmlformats-officedocument.drawingml.chartshapes+xml"/>
  <Override PartName="/xl/charts/chart1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ml.chartshapes+xml"/>
  <Override PartName="/xl/charts/chart20.xml" ContentType="application/vnd.openxmlformats-officedocument.drawingml.chart+xml"/>
  <Override PartName="/xl/drawings/drawing15.xml" ContentType="application/vnd.openxmlformats-officedocument.drawingml.chartshapes+xml"/>
  <Override PartName="/xl/charts/chart2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240" yWindow="120" windowWidth="2880" windowHeight="5580"/>
  </bookViews>
  <sheets>
    <sheet name="Current version" sheetId="1" r:id="rId1"/>
    <sheet name="Colony Type" sheetId="2" r:id="rId2"/>
    <sheet name="Mite Immigration" sheetId="3" r:id="rId3"/>
    <sheet name="r values " sheetId="11" r:id="rId4"/>
    <sheet name="About this model" sheetId="4" r:id="rId5"/>
    <sheet name="Necessary mite reduction" sheetId="5" r:id="rId6"/>
    <sheet name="Notes for this version" sheetId="6" r:id="rId7"/>
    <sheet name="Relative rates of increase" sheetId="7" r:id="rId8"/>
    <sheet name="Starting level" sheetId="8" r:id="rId9"/>
    <sheet name="Data to evaluate" sheetId="9" r:id="rId10"/>
    <sheet name="Brood break" sheetId="10" r:id="rId11"/>
  </sheets>
  <definedNames>
    <definedName name="abc" localSheetId="10">#REF!</definedName>
    <definedName name="abc" localSheetId="0">#REF!</definedName>
    <definedName name="abc" localSheetId="3">#REF!</definedName>
    <definedName name="abc">#REF!</definedName>
    <definedName name="abs" localSheetId="10">#REF!</definedName>
    <definedName name="abs" localSheetId="0">#REF!</definedName>
    <definedName name="abs" localSheetId="3">#REF!</definedName>
    <definedName name="abs">#REF!</definedName>
    <definedName name="mistake" localSheetId="3">#REF!</definedName>
    <definedName name="mistake">#REF!</definedName>
    <definedName name="x" localSheetId="10">#REF!</definedName>
    <definedName name="x" localSheetId="0">#REF!</definedName>
    <definedName name="x" localSheetId="3">#REF!</definedName>
    <definedName name="x">#REF!</definedName>
    <definedName name="xxx" localSheetId="10">#REF!</definedName>
    <definedName name="xxx" localSheetId="0">#REF!</definedName>
    <definedName name="xxx" localSheetId="3">#REF!</definedName>
    <definedName name="xxx">#REF!</definedName>
    <definedName name="xxx1" localSheetId="10">#REF!</definedName>
    <definedName name="xxx1" localSheetId="0">#REF!</definedName>
    <definedName name="xxx1" localSheetId="3">#REF!</definedName>
    <definedName name="xxx1">#REF!</definedName>
    <definedName name="z" localSheetId="10">#REF!</definedName>
    <definedName name="z" localSheetId="0">#REF!</definedName>
    <definedName name="z" localSheetId="3">#REF!</definedName>
    <definedName name="z">#REF!</definedName>
  </definedNames>
  <calcPr calcId="145621"/>
  <customWorkbookViews>
    <customWorkbookView name="Randy Oliver - Personal View" guid="{C5ECCA7E-81F6-46F5-BEA0-A5F2DAD22AC9}" mergeInterval="0" personalView="1" maximized="1" windowWidth="1676" windowHeight="720" activeSheetId="1"/>
    <customWorkbookView name="rod d - Personal View" guid="{40D14490-07BB-46F3-8435-9C462BE853EE}" mergeInterval="0" personalView="1" maximized="1" xWindow="1" yWindow="1" windowWidth="1916" windowHeight="802" activeSheetId="1"/>
  </customWorkbookViews>
</workbook>
</file>

<file path=xl/calcChain.xml><?xml version="1.0" encoding="utf-8"?>
<calcChain xmlns="http://schemas.openxmlformats.org/spreadsheetml/2006/main">
  <c r="D21" i="1" l="1"/>
  <c r="D21" i="10"/>
  <c r="H30" i="11" l="1"/>
  <c r="DL28" i="1" l="1"/>
  <c r="AE3" i="10" l="1"/>
  <c r="DE10" i="10"/>
  <c r="FB22" i="10"/>
  <c r="CD106" i="10" l="1"/>
  <c r="CB106" i="10"/>
  <c r="CE106" i="10" s="1"/>
  <c r="CD105" i="10"/>
  <c r="CB105" i="10"/>
  <c r="CE105" i="10" s="1"/>
  <c r="CD104" i="10"/>
  <c r="CB104" i="10"/>
  <c r="CE104" i="10" s="1"/>
  <c r="CD103" i="10"/>
  <c r="CB103" i="10"/>
  <c r="CE103" i="10" s="1"/>
  <c r="CD102" i="10"/>
  <c r="CB102" i="10"/>
  <c r="CE102" i="10" s="1"/>
  <c r="CD101" i="10"/>
  <c r="CB101" i="10"/>
  <c r="CE101" i="10" s="1"/>
  <c r="CD100" i="10"/>
  <c r="CB100" i="10"/>
  <c r="CE100" i="10" s="1"/>
  <c r="CD99" i="10"/>
  <c r="CB99" i="10"/>
  <c r="CE99" i="10" s="1"/>
  <c r="CD98" i="10"/>
  <c r="CB98" i="10"/>
  <c r="CE98" i="10" s="1"/>
  <c r="CD97" i="10"/>
  <c r="CB97" i="10"/>
  <c r="CE97" i="10" s="1"/>
  <c r="CD96" i="10"/>
  <c r="CB96" i="10"/>
  <c r="CE96" i="10" s="1"/>
  <c r="CD95" i="10"/>
  <c r="CB95" i="10"/>
  <c r="CE95" i="10" s="1"/>
  <c r="CD94" i="10"/>
  <c r="CB94" i="10"/>
  <c r="CE94" i="10" s="1"/>
  <c r="BW94" i="10"/>
  <c r="CD93" i="10"/>
  <c r="CB93" i="10"/>
  <c r="CE93" i="10" s="1"/>
  <c r="BW93" i="10"/>
  <c r="CD92" i="10"/>
  <c r="CB92" i="10"/>
  <c r="CE92" i="10" s="1"/>
  <c r="BW92" i="10"/>
  <c r="CD91" i="10"/>
  <c r="CB91" i="10"/>
  <c r="CE91" i="10" s="1"/>
  <c r="BW91" i="10"/>
  <c r="CD90" i="10"/>
  <c r="CB90" i="10"/>
  <c r="CE90" i="10" s="1"/>
  <c r="CD89" i="10"/>
  <c r="CB89" i="10"/>
  <c r="CE89" i="10" s="1"/>
  <c r="CE88" i="10"/>
  <c r="CD88" i="10"/>
  <c r="CC87" i="10"/>
  <c r="BU78" i="10"/>
  <c r="BR79" i="10" s="1"/>
  <c r="BR76" i="10"/>
  <c r="BP77" i="10" s="1"/>
  <c r="BR71" i="10"/>
  <c r="BP72" i="10" s="1"/>
  <c r="BP73" i="10" s="1"/>
  <c r="BW68" i="10"/>
  <c r="BW67" i="10"/>
  <c r="BW66" i="10"/>
  <c r="BW65" i="10"/>
  <c r="BW64" i="10"/>
  <c r="BW63" i="10"/>
  <c r="BW62" i="10"/>
  <c r="AG62" i="10"/>
  <c r="AG63" i="10" s="1"/>
  <c r="AG64" i="10" s="1"/>
  <c r="BW61" i="10"/>
  <c r="AH61" i="10"/>
  <c r="BW60" i="10"/>
  <c r="BW59" i="10"/>
  <c r="BW58" i="10"/>
  <c r="BW57" i="10"/>
  <c r="BW56" i="10"/>
  <c r="BW55" i="10"/>
  <c r="BW54" i="10"/>
  <c r="BW53" i="10"/>
  <c r="BQ42" i="10"/>
  <c r="B42" i="10"/>
  <c r="BQ41" i="10"/>
  <c r="B41" i="10"/>
  <c r="BA40" i="10"/>
  <c r="BP39" i="10"/>
  <c r="BQ39" i="10" s="1"/>
  <c r="AI39" i="10"/>
  <c r="AH39" i="10"/>
  <c r="AG39" i="10"/>
  <c r="B39" i="10"/>
  <c r="B37" i="10"/>
  <c r="B36" i="10"/>
  <c r="BP35" i="10"/>
  <c r="BQ35" i="10" s="1"/>
  <c r="B35" i="10"/>
  <c r="BP34" i="10"/>
  <c r="BQ34" i="10" s="1"/>
  <c r="BW38" i="10" s="1"/>
  <c r="B34" i="10"/>
  <c r="BP33" i="10"/>
  <c r="BQ33" i="10" s="1"/>
  <c r="BW37" i="10" s="1"/>
  <c r="BA33" i="10"/>
  <c r="B33" i="10"/>
  <c r="FH32" i="10"/>
  <c r="FG32" i="10"/>
  <c r="DQ26" i="10" s="1"/>
  <c r="FF32" i="10"/>
  <c r="DQ25" i="10" s="1"/>
  <c r="FE32" i="10"/>
  <c r="DQ24" i="10" s="1"/>
  <c r="FD32" i="10"/>
  <c r="FC32" i="10"/>
  <c r="DQ22" i="10" s="1"/>
  <c r="FB32" i="10"/>
  <c r="DQ21" i="10" s="1"/>
  <c r="FA32" i="10"/>
  <c r="DQ20" i="10" s="1"/>
  <c r="EZ32" i="10"/>
  <c r="DQ19" i="10" s="1"/>
  <c r="EY32" i="10"/>
  <c r="DQ18" i="10" s="1"/>
  <c r="EX32" i="10"/>
  <c r="DQ17" i="10" s="1"/>
  <c r="EW32" i="10"/>
  <c r="DQ16" i="10" s="1"/>
  <c r="EV32" i="10"/>
  <c r="DQ15" i="10" s="1"/>
  <c r="EU32" i="10"/>
  <c r="DQ14" i="10" s="1"/>
  <c r="ET32" i="10"/>
  <c r="DQ13" i="10" s="1"/>
  <c r="ES32" i="10"/>
  <c r="ER32" i="10"/>
  <c r="DQ11" i="10" s="1"/>
  <c r="EQ32" i="10"/>
  <c r="DQ10" i="10" s="1"/>
  <c r="EP32" i="10"/>
  <c r="DQ9" i="10" s="1"/>
  <c r="EO32" i="10"/>
  <c r="DQ8" i="10" s="1"/>
  <c r="EN32" i="10"/>
  <c r="DQ7" i="10" s="1"/>
  <c r="EM32" i="10"/>
  <c r="DQ6" i="10" s="1"/>
  <c r="EL32" i="10"/>
  <c r="EK32" i="10"/>
  <c r="DQ4" i="10" s="1"/>
  <c r="BW32" i="10"/>
  <c r="BW33" i="10" s="1"/>
  <c r="BP32" i="10"/>
  <c r="BQ32" i="10" s="1"/>
  <c r="BQ63" i="10" s="1"/>
  <c r="BA32" i="10"/>
  <c r="BP31" i="10"/>
  <c r="BQ31" i="10" s="1"/>
  <c r="CO25" i="10" s="1"/>
  <c r="CP25" i="10" s="1"/>
  <c r="BA31" i="10"/>
  <c r="BQ28" i="10" s="1"/>
  <c r="BR28" i="10" s="1"/>
  <c r="B31" i="10"/>
  <c r="BP30" i="10"/>
  <c r="BQ30" i="10" s="1"/>
  <c r="BQ54" i="10" s="1"/>
  <c r="CM29" i="10"/>
  <c r="BZ29" i="10"/>
  <c r="BP29" i="10"/>
  <c r="BQ29" i="10" s="1"/>
  <c r="CZ23" i="10" s="1"/>
  <c r="DM28" i="10"/>
  <c r="BA28" i="10"/>
  <c r="DQ27" i="10"/>
  <c r="BA27" i="10"/>
  <c r="DU27" i="10" s="1"/>
  <c r="BA26" i="10"/>
  <c r="BA25" i="10"/>
  <c r="BA24" i="10"/>
  <c r="DU24" i="10" s="1"/>
  <c r="DQ23" i="10"/>
  <c r="BA23" i="10"/>
  <c r="BA22" i="10"/>
  <c r="BA21" i="10"/>
  <c r="AE21" i="10" s="1"/>
  <c r="BA20" i="10"/>
  <c r="AE20" i="10" s="1"/>
  <c r="BA19" i="10"/>
  <c r="BA18" i="10"/>
  <c r="AE18" i="10" s="1"/>
  <c r="BQ17" i="10"/>
  <c r="BR17" i="10" s="1"/>
  <c r="BA17" i="10"/>
  <c r="AE17" i="10" s="1"/>
  <c r="BA16" i="10"/>
  <c r="BA15" i="10"/>
  <c r="AE15" i="10" s="1"/>
  <c r="BS14" i="10"/>
  <c r="BT14" i="10" s="1"/>
  <c r="BA14" i="10"/>
  <c r="BA13" i="10"/>
  <c r="AE13" i="10" s="1"/>
  <c r="DQ12" i="10"/>
  <c r="BA12" i="10"/>
  <c r="DU12" i="10" s="1"/>
  <c r="BA11" i="10"/>
  <c r="AE11" i="10" s="1"/>
  <c r="BA10" i="10"/>
  <c r="BA9" i="10"/>
  <c r="AE9" i="10" s="1"/>
  <c r="BA8" i="10"/>
  <c r="AE8" i="10" s="1"/>
  <c r="BA7" i="10"/>
  <c r="AE7" i="10" s="1"/>
  <c r="BA6" i="10"/>
  <c r="AE6" i="10" s="1"/>
  <c r="DQ5" i="10"/>
  <c r="BA5" i="10"/>
  <c r="BP5" i="10" s="1"/>
  <c r="BA4" i="10"/>
  <c r="AE4" i="10" s="1"/>
  <c r="BE3" i="10"/>
  <c r="CE10" i="10" l="1"/>
  <c r="CF10" i="10" s="1"/>
  <c r="BQ8" i="10"/>
  <c r="BR8" i="10" s="1"/>
  <c r="BQ13" i="10"/>
  <c r="BR13" i="10" s="1"/>
  <c r="CE6" i="10"/>
  <c r="CF6" i="10" s="1"/>
  <c r="CJ6" i="10" s="1"/>
  <c r="CK6" i="10" s="1"/>
  <c r="CL6" i="10" s="1"/>
  <c r="BS21" i="10"/>
  <c r="BT21" i="10" s="1"/>
  <c r="BQ24" i="10"/>
  <c r="BR24" i="10" s="1"/>
  <c r="CE25" i="10"/>
  <c r="CF25" i="10" s="1"/>
  <c r="CG25" i="10" s="1"/>
  <c r="BQ5" i="10"/>
  <c r="BR5" i="10" s="1"/>
  <c r="CE16" i="10"/>
  <c r="CF16" i="10" s="1"/>
  <c r="CE9" i="10"/>
  <c r="CF9" i="10" s="1"/>
  <c r="BQ11" i="10"/>
  <c r="BR11" i="10" s="1"/>
  <c r="BQ15" i="10"/>
  <c r="BR15" i="10" s="1"/>
  <c r="CO16" i="10"/>
  <c r="CP16" i="10" s="1"/>
  <c r="CE18" i="10"/>
  <c r="CF18" i="10" s="1"/>
  <c r="BQ20" i="10"/>
  <c r="BR20" i="10" s="1"/>
  <c r="BQ26" i="10"/>
  <c r="BR26" i="10" s="1"/>
  <c r="CE19" i="10"/>
  <c r="CF19" i="10" s="1"/>
  <c r="BQ12" i="10"/>
  <c r="BR12" i="10" s="1"/>
  <c r="BS13" i="10"/>
  <c r="BT13" i="10" s="1"/>
  <c r="BV13" i="10" s="1"/>
  <c r="CE21" i="10"/>
  <c r="CF21" i="10" s="1"/>
  <c r="CG21" i="10" s="1"/>
  <c r="CW21" i="10" s="1"/>
  <c r="CE23" i="10"/>
  <c r="CF23" i="10" s="1"/>
  <c r="BS24" i="10"/>
  <c r="BQ4" i="10"/>
  <c r="BR4" i="10" s="1"/>
  <c r="CE7" i="10"/>
  <c r="CF7" i="10" s="1"/>
  <c r="CJ7" i="10" s="1"/>
  <c r="CK7" i="10" s="1"/>
  <c r="DF4" i="10"/>
  <c r="EK33" i="10" s="1"/>
  <c r="BS11" i="10"/>
  <c r="BT11" i="10" s="1"/>
  <c r="BQ14" i="10"/>
  <c r="BR14" i="10" s="1"/>
  <c r="BS15" i="10"/>
  <c r="BT15" i="10" s="1"/>
  <c r="CD15" i="10" s="1"/>
  <c r="BQ22" i="10"/>
  <c r="BR22" i="10" s="1"/>
  <c r="BS25" i="10"/>
  <c r="CA25" i="10" s="1"/>
  <c r="CO7" i="10"/>
  <c r="CP7" i="10" s="1"/>
  <c r="CO10" i="10"/>
  <c r="CP10" i="10" s="1"/>
  <c r="BB4" i="10"/>
  <c r="BQ27" i="10"/>
  <c r="BR27" i="10" s="1"/>
  <c r="ED28" i="10" s="1"/>
  <c r="BS27" i="10"/>
  <c r="CA27" i="10" s="1"/>
  <c r="CB27" i="10" s="1"/>
  <c r="CL7" i="10"/>
  <c r="CO26" i="10"/>
  <c r="CP26" i="10" s="1"/>
  <c r="EJ45" i="10"/>
  <c r="AE16" i="10"/>
  <c r="EJ55" i="10"/>
  <c r="AE26" i="10"/>
  <c r="EJ39" i="10"/>
  <c r="AE10" i="10"/>
  <c r="BP16" i="10"/>
  <c r="EJ48" i="10"/>
  <c r="AE19" i="10"/>
  <c r="EJ52" i="10"/>
  <c r="AE23" i="10"/>
  <c r="BS4" i="10"/>
  <c r="BS5" i="10"/>
  <c r="BT5" i="10" s="1"/>
  <c r="BX5" i="10" s="1"/>
  <c r="BQ6" i="10"/>
  <c r="BR6" i="10" s="1"/>
  <c r="ED6" i="10" s="1"/>
  <c r="BQ7" i="10"/>
  <c r="BR7" i="10" s="1"/>
  <c r="BS8" i="10"/>
  <c r="BT8" i="10" s="1"/>
  <c r="BV8" i="10" s="1"/>
  <c r="BQ9" i="10"/>
  <c r="BR9" i="10" s="1"/>
  <c r="BQ10" i="10"/>
  <c r="BR10" i="10" s="1"/>
  <c r="CE11" i="10"/>
  <c r="CF11" i="10" s="1"/>
  <c r="BS12" i="10"/>
  <c r="BT12" i="10" s="1"/>
  <c r="BV12" i="10" s="1"/>
  <c r="CE13" i="10"/>
  <c r="CF13" i="10" s="1"/>
  <c r="CG13" i="10" s="1"/>
  <c r="CE14" i="10"/>
  <c r="CF14" i="10" s="1"/>
  <c r="CG14" i="10" s="1"/>
  <c r="CE15" i="10"/>
  <c r="CF15" i="10" s="1"/>
  <c r="CG15" i="10" s="1"/>
  <c r="CW15" i="10" s="1"/>
  <c r="BQ16" i="10"/>
  <c r="BR16" i="10" s="1"/>
  <c r="BS17" i="10"/>
  <c r="BT17" i="10" s="1"/>
  <c r="EC18" i="10" s="1"/>
  <c r="BQ18" i="10"/>
  <c r="BR18" i="10" s="1"/>
  <c r="BQ19" i="10"/>
  <c r="BR19" i="10" s="1"/>
  <c r="BS20" i="10"/>
  <c r="BT20" i="10" s="1"/>
  <c r="EC21" i="10" s="1"/>
  <c r="BS22" i="10"/>
  <c r="BT22" i="10" s="1"/>
  <c r="BV22" i="10" s="1"/>
  <c r="BQ23" i="10"/>
  <c r="BR23" i="10" s="1"/>
  <c r="ED24" i="10" s="1"/>
  <c r="DU23" i="10"/>
  <c r="CE24" i="10"/>
  <c r="CF24" i="10" s="1"/>
  <c r="CJ24" i="10" s="1"/>
  <c r="CK24" i="10" s="1"/>
  <c r="EJ54" i="10"/>
  <c r="AE25" i="10"/>
  <c r="BS26" i="10"/>
  <c r="CA26" i="10" s="1"/>
  <c r="CB26" i="10" s="1"/>
  <c r="DU26" i="10"/>
  <c r="BT27" i="10"/>
  <c r="BX27" i="10" s="1"/>
  <c r="DU28" i="10"/>
  <c r="AE28" i="10"/>
  <c r="AH62" i="10"/>
  <c r="CE4" i="10"/>
  <c r="CF4" i="10" s="1"/>
  <c r="CJ4" i="10" s="1"/>
  <c r="EJ34" i="10"/>
  <c r="AE5" i="10"/>
  <c r="CE5" i="10"/>
  <c r="CF5" i="10" s="1"/>
  <c r="CJ5" i="10" s="1"/>
  <c r="CK5" i="10" s="1"/>
  <c r="BS6" i="10"/>
  <c r="BT6" i="10" s="1"/>
  <c r="CD6" i="10" s="1"/>
  <c r="BS7" i="10"/>
  <c r="BT7" i="10" s="1"/>
  <c r="BV7" i="10" s="1"/>
  <c r="CE8" i="10"/>
  <c r="CF8" i="10" s="1"/>
  <c r="BS9" i="10"/>
  <c r="BT9" i="10" s="1"/>
  <c r="BV9" i="10" s="1"/>
  <c r="BS10" i="10"/>
  <c r="BT10" i="10" s="1"/>
  <c r="CD10" i="10" s="1"/>
  <c r="CR10" i="10" s="1"/>
  <c r="EJ41" i="10"/>
  <c r="AE12" i="10"/>
  <c r="CE12" i="10"/>
  <c r="CF12" i="10" s="1"/>
  <c r="CG12" i="10" s="1"/>
  <c r="EJ43" i="10"/>
  <c r="AE14" i="10"/>
  <c r="BS16" i="10"/>
  <c r="BT16" i="10" s="1"/>
  <c r="BX16" i="10" s="1"/>
  <c r="CE17" i="10"/>
  <c r="CF17" i="10" s="1"/>
  <c r="CG17" i="10" s="1"/>
  <c r="BS18" i="10"/>
  <c r="BT18" i="10" s="1"/>
  <c r="BX18" i="10" s="1"/>
  <c r="BS19" i="10"/>
  <c r="BT19" i="10" s="1"/>
  <c r="EZ30" i="10" s="1"/>
  <c r="DU19" i="10"/>
  <c r="CE20" i="10"/>
  <c r="CF20" i="10" s="1"/>
  <c r="CG20" i="10" s="1"/>
  <c r="CW20" i="10" s="1"/>
  <c r="BQ21" i="10"/>
  <c r="BR21" i="10" s="1"/>
  <c r="ED22" i="10" s="1"/>
  <c r="EJ51" i="10"/>
  <c r="AE22" i="10"/>
  <c r="CE22" i="10"/>
  <c r="CF22" i="10" s="1"/>
  <c r="CJ22" i="10" s="1"/>
  <c r="CK22" i="10" s="1"/>
  <c r="BS23" i="10"/>
  <c r="BT23" i="10" s="1"/>
  <c r="FD30" i="10" s="1"/>
  <c r="EJ53" i="10"/>
  <c r="AE24" i="10"/>
  <c r="BQ25" i="10"/>
  <c r="BR25" i="10" s="1"/>
  <c r="DU25" i="10"/>
  <c r="CE26" i="10"/>
  <c r="CF26" i="10" s="1"/>
  <c r="CJ26" i="10" s="1"/>
  <c r="CK26" i="10" s="1"/>
  <c r="EJ56" i="10"/>
  <c r="AE27" i="10"/>
  <c r="CE27" i="10"/>
  <c r="CF27" i="10" s="1"/>
  <c r="CJ27" i="10" s="1"/>
  <c r="CK27" i="10" s="1"/>
  <c r="BP79" i="10"/>
  <c r="CO5" i="10"/>
  <c r="CP5" i="10" s="1"/>
  <c r="CO6" i="10"/>
  <c r="CP6" i="10" s="1"/>
  <c r="CO4" i="10"/>
  <c r="CP4" i="10" s="1"/>
  <c r="CO9" i="10"/>
  <c r="CP9" i="10" s="1"/>
  <c r="CO18" i="10"/>
  <c r="CP18" i="10" s="1"/>
  <c r="CO19" i="10"/>
  <c r="CP19" i="10" s="1"/>
  <c r="CO20" i="10"/>
  <c r="CP20" i="10" s="1"/>
  <c r="CO21" i="10"/>
  <c r="CP21" i="10" s="1"/>
  <c r="CO23" i="10"/>
  <c r="CP23" i="10" s="1"/>
  <c r="CO28" i="10"/>
  <c r="CP28" i="10" s="1"/>
  <c r="CO14" i="10"/>
  <c r="CP14" i="10" s="1"/>
  <c r="CO8" i="10"/>
  <c r="CP8" i="10" s="1"/>
  <c r="CO11" i="10"/>
  <c r="CP11" i="10" s="1"/>
  <c r="CO12" i="10"/>
  <c r="CP12" i="10" s="1"/>
  <c r="CO13" i="10"/>
  <c r="CP13" i="10" s="1"/>
  <c r="CO15" i="10"/>
  <c r="CP15" i="10" s="1"/>
  <c r="CO17" i="10"/>
  <c r="CP17" i="10" s="1"/>
  <c r="CO22" i="10"/>
  <c r="CP22" i="10" s="1"/>
  <c r="CO24" i="10"/>
  <c r="CP24" i="10" s="1"/>
  <c r="BP14" i="10"/>
  <c r="EJ4" i="10"/>
  <c r="DU10" i="10"/>
  <c r="BP12" i="10"/>
  <c r="DU16" i="10"/>
  <c r="BP22" i="10"/>
  <c r="BP10" i="10"/>
  <c r="DU14" i="10"/>
  <c r="BP19" i="10"/>
  <c r="BP23" i="10"/>
  <c r="BP24" i="10"/>
  <c r="BP25" i="10"/>
  <c r="BT25" i="10"/>
  <c r="FF30" i="10" s="1"/>
  <c r="BP26" i="10"/>
  <c r="BP27" i="10"/>
  <c r="BP28" i="10"/>
  <c r="DU22" i="10"/>
  <c r="CD16" i="10"/>
  <c r="CR16" i="10" s="1"/>
  <c r="CZ16" i="10"/>
  <c r="CZ4" i="10"/>
  <c r="CZ6" i="10"/>
  <c r="CZ20" i="10"/>
  <c r="CZ25" i="10"/>
  <c r="CZ12" i="10"/>
  <c r="CG4" i="10"/>
  <c r="CW4" i="10" s="1"/>
  <c r="BU21" i="10"/>
  <c r="DC21" i="10" s="1"/>
  <c r="CZ13" i="10"/>
  <c r="CZ14" i="10"/>
  <c r="CZ15" i="10"/>
  <c r="CZ17" i="10"/>
  <c r="CZ22" i="10"/>
  <c r="CZ26" i="10"/>
  <c r="CZ27" i="10"/>
  <c r="CZ7" i="10"/>
  <c r="CZ9" i="10"/>
  <c r="CG11" i="10"/>
  <c r="CW11" i="10" s="1"/>
  <c r="BV16" i="10"/>
  <c r="CZ21" i="10"/>
  <c r="CZ24" i="10"/>
  <c r="CZ5" i="10"/>
  <c r="CZ8" i="10"/>
  <c r="CZ18" i="10"/>
  <c r="CZ19" i="10"/>
  <c r="DG4" i="10"/>
  <c r="DH4" i="10" s="1"/>
  <c r="CZ10" i="10"/>
  <c r="CZ11" i="10"/>
  <c r="EJ33" i="10"/>
  <c r="DU4" i="10"/>
  <c r="BP4" i="10"/>
  <c r="EL30" i="10"/>
  <c r="BV5" i="10"/>
  <c r="EJ35" i="10"/>
  <c r="DU6" i="10"/>
  <c r="BP6" i="10"/>
  <c r="CG8" i="10"/>
  <c r="EJ36" i="10"/>
  <c r="DU7" i="10"/>
  <c r="BP7" i="10"/>
  <c r="CJ8" i="10"/>
  <c r="CK8" i="10" s="1"/>
  <c r="CG9" i="10"/>
  <c r="EJ40" i="10"/>
  <c r="BP11" i="10"/>
  <c r="DU11" i="10"/>
  <c r="EM30" i="10"/>
  <c r="EJ37" i="10"/>
  <c r="DU8" i="10"/>
  <c r="BP8" i="10"/>
  <c r="EQ30" i="10"/>
  <c r="EC11" i="10"/>
  <c r="CG10" i="10"/>
  <c r="BU11" i="10"/>
  <c r="EJ38" i="10"/>
  <c r="DU9" i="10"/>
  <c r="BP9" i="10"/>
  <c r="ED8" i="10"/>
  <c r="ED9" i="10"/>
  <c r="EU30" i="10"/>
  <c r="CD14" i="10"/>
  <c r="BV14" i="10"/>
  <c r="BX14" i="10"/>
  <c r="EC15" i="10"/>
  <c r="ER30" i="10"/>
  <c r="BX11" i="10"/>
  <c r="EC12" i="10"/>
  <c r="CD11" i="10"/>
  <c r="CR11" i="10" s="1"/>
  <c r="BV11" i="10"/>
  <c r="DU5" i="10"/>
  <c r="CG16" i="10"/>
  <c r="EC14" i="10"/>
  <c r="CD13" i="10"/>
  <c r="BU14" i="10"/>
  <c r="ED14" i="10"/>
  <c r="EJ44" i="10"/>
  <c r="BP15" i="10"/>
  <c r="DU15" i="10"/>
  <c r="ED18" i="10"/>
  <c r="EE18" i="10" s="1"/>
  <c r="EJ49" i="10"/>
  <c r="DU20" i="10"/>
  <c r="BP20" i="10"/>
  <c r="AH64" i="10"/>
  <c r="AG65" i="10"/>
  <c r="BV15" i="10"/>
  <c r="EJ46" i="10"/>
  <c r="BP17" i="10"/>
  <c r="EJ47" i="10"/>
  <c r="DU18" i="10"/>
  <c r="BP18" i="10"/>
  <c r="EJ50" i="10"/>
  <c r="BP21" i="10"/>
  <c r="DU21" i="10"/>
  <c r="CJ25" i="10"/>
  <c r="CK25" i="10" s="1"/>
  <c r="EX30" i="10"/>
  <c r="BX17" i="10"/>
  <c r="CD18" i="10"/>
  <c r="CR18" i="10" s="1"/>
  <c r="CG19" i="10"/>
  <c r="CG23" i="10"/>
  <c r="EK58" i="10"/>
  <c r="EK59" i="10" s="1"/>
  <c r="EL5" i="10" s="1"/>
  <c r="EL33" i="10"/>
  <c r="EJ42" i="10"/>
  <c r="DU13" i="10"/>
  <c r="BP13" i="10"/>
  <c r="ED13" i="10"/>
  <c r="EC17" i="10"/>
  <c r="DU17" i="10"/>
  <c r="CG18" i="10"/>
  <c r="CJ23" i="10"/>
  <c r="CK23" i="10" s="1"/>
  <c r="ED23" i="10"/>
  <c r="CA24" i="10"/>
  <c r="BT24" i="10"/>
  <c r="BU24" i="10" s="1"/>
  <c r="CB25" i="10"/>
  <c r="FB30" i="10"/>
  <c r="BX21" i="10"/>
  <c r="EC22" i="10"/>
  <c r="CD21" i="10"/>
  <c r="BV21" i="10"/>
  <c r="EC28" i="10"/>
  <c r="BQ53" i="10"/>
  <c r="BQ56" i="10" s="1"/>
  <c r="BQ57" i="10" s="1"/>
  <c r="BZ32" i="10"/>
  <c r="BZ33" i="10" s="1"/>
  <c r="CZ28" i="10"/>
  <c r="BZ30" i="10"/>
  <c r="BZ31" i="10" s="1"/>
  <c r="BQ62" i="10"/>
  <c r="BQ65" i="10" s="1"/>
  <c r="BQ66" i="10" s="1"/>
  <c r="BQ67" i="10" s="1"/>
  <c r="CO27" i="10"/>
  <c r="CP27" i="10" s="1"/>
  <c r="AH63" i="10"/>
  <c r="D36" i="3"/>
  <c r="CK4" i="10"/>
  <c r="CD23" i="10" l="1"/>
  <c r="CR23" i="10" s="1"/>
  <c r="ED27" i="10"/>
  <c r="BU5" i="10"/>
  <c r="ED19" i="10"/>
  <c r="ED10" i="10"/>
  <c r="ED20" i="10"/>
  <c r="ED12" i="10"/>
  <c r="BU13" i="10"/>
  <c r="DC13" i="10" s="1"/>
  <c r="EC16" i="10"/>
  <c r="CG6" i="10"/>
  <c r="ED21" i="10"/>
  <c r="EE21" i="10" s="1"/>
  <c r="BU17" i="10"/>
  <c r="BY17" i="10" s="1"/>
  <c r="BV17" i="10"/>
  <c r="EV30" i="10"/>
  <c r="BX13" i="10"/>
  <c r="ET30" i="10"/>
  <c r="BX10" i="10"/>
  <c r="CD5" i="10"/>
  <c r="EC6" i="10"/>
  <c r="BU16" i="10"/>
  <c r="DC16" i="10" s="1"/>
  <c r="BU15" i="10"/>
  <c r="BY15" i="10" s="1"/>
  <c r="CR6" i="10"/>
  <c r="CD17" i="10"/>
  <c r="BV10" i="10"/>
  <c r="DZ6" i="10"/>
  <c r="ED5" i="10"/>
  <c r="CD22" i="10"/>
  <c r="CR22" i="10" s="1"/>
  <c r="BX15" i="10"/>
  <c r="ED15" i="10"/>
  <c r="CG7" i="10"/>
  <c r="CW7" i="10" s="1"/>
  <c r="ED26" i="10"/>
  <c r="CR21" i="10"/>
  <c r="ED7" i="10"/>
  <c r="EW30" i="10"/>
  <c r="CD9" i="10"/>
  <c r="CR9" i="10" s="1"/>
  <c r="BX9" i="10"/>
  <c r="ED16" i="10"/>
  <c r="DC15" i="10"/>
  <c r="EP30" i="10"/>
  <c r="FH30" i="10"/>
  <c r="BU27" i="10"/>
  <c r="DC27" i="10" s="1"/>
  <c r="BV27" i="10"/>
  <c r="CD27" i="10"/>
  <c r="CR27" i="10" s="1"/>
  <c r="CL24" i="10"/>
  <c r="CL23" i="10"/>
  <c r="CL5" i="10"/>
  <c r="CL25" i="10"/>
  <c r="CL27" i="10"/>
  <c r="CL26" i="10"/>
  <c r="CL4" i="10"/>
  <c r="CL8" i="10"/>
  <c r="CL22" i="10"/>
  <c r="BV6" i="10"/>
  <c r="CD8" i="10"/>
  <c r="CR8" i="10" s="1"/>
  <c r="EC13" i="10"/>
  <c r="EE13" i="10" s="1"/>
  <c r="FC30" i="10"/>
  <c r="BU8" i="10"/>
  <c r="DC8" i="10" s="1"/>
  <c r="BX6" i="10"/>
  <c r="CR17" i="10"/>
  <c r="BX8" i="10"/>
  <c r="BV23" i="10"/>
  <c r="BU22" i="10"/>
  <c r="BY22" i="10" s="1"/>
  <c r="EC23" i="10"/>
  <c r="BU6" i="10"/>
  <c r="BY6" i="10" s="1"/>
  <c r="CD7" i="10"/>
  <c r="CR7" i="10" s="1"/>
  <c r="BT26" i="10"/>
  <c r="BX22" i="10"/>
  <c r="EY30" i="10"/>
  <c r="CD19" i="10"/>
  <c r="CR19" i="10" s="1"/>
  <c r="EC7" i="10"/>
  <c r="EE7" i="10" s="1"/>
  <c r="BX7" i="10"/>
  <c r="EC24" i="10"/>
  <c r="EE24" i="10" s="1"/>
  <c r="EF24" i="10" s="1"/>
  <c r="BU18" i="10"/>
  <c r="BY18" i="10" s="1"/>
  <c r="BU19" i="10"/>
  <c r="BY19" i="10" s="1"/>
  <c r="EC19" i="10"/>
  <c r="EC20" i="10"/>
  <c r="EE20" i="10" s="1"/>
  <c r="CR13" i="10"/>
  <c r="EC8" i="10"/>
  <c r="EE8" i="10" s="1"/>
  <c r="ED17" i="10"/>
  <c r="EE17" i="10" s="1"/>
  <c r="EF17" i="10" s="1"/>
  <c r="BV18" i="10"/>
  <c r="BY21" i="10"/>
  <c r="CM21" i="10" s="1"/>
  <c r="CR5" i="10"/>
  <c r="CR15" i="10"/>
  <c r="FA30" i="10"/>
  <c r="BU23" i="10"/>
  <c r="DC23" i="10" s="1"/>
  <c r="BU10" i="10"/>
  <c r="DC10" i="10" s="1"/>
  <c r="CG26" i="10"/>
  <c r="CH26" i="10" s="1"/>
  <c r="CG22" i="10"/>
  <c r="CW22" i="10" s="1"/>
  <c r="CD20" i="10"/>
  <c r="CR20" i="10" s="1"/>
  <c r="CD12" i="10"/>
  <c r="CR12" i="10" s="1"/>
  <c r="BX23" i="10"/>
  <c r="ED25" i="10"/>
  <c r="CG24" i="10"/>
  <c r="CW24" i="10" s="1"/>
  <c r="BV19" i="10"/>
  <c r="BX20" i="10"/>
  <c r="CG5" i="10"/>
  <c r="CW5" i="10" s="1"/>
  <c r="CR14" i="10"/>
  <c r="BU12" i="10"/>
  <c r="BY12" i="10" s="1"/>
  <c r="BU9" i="10"/>
  <c r="DC9" i="10" s="1"/>
  <c r="EC10" i="10"/>
  <c r="EE10" i="10" s="1"/>
  <c r="EF10" i="10" s="1"/>
  <c r="ED11" i="10"/>
  <c r="EE11" i="10" s="1"/>
  <c r="EC9" i="10"/>
  <c r="EE9" i="10" s="1"/>
  <c r="EO30" i="10"/>
  <c r="BU7" i="10"/>
  <c r="DC7" i="10" s="1"/>
  <c r="EN30" i="10"/>
  <c r="CG27" i="10"/>
  <c r="CW27" i="10" s="1"/>
  <c r="BU20" i="10"/>
  <c r="DC20" i="10" s="1"/>
  <c r="BV20" i="10"/>
  <c r="ES30" i="10"/>
  <c r="DZ7" i="10"/>
  <c r="DZ8" i="10" s="1"/>
  <c r="DZ9" i="10" s="1"/>
  <c r="DZ10" i="10" s="1"/>
  <c r="DZ11" i="10" s="1"/>
  <c r="DZ12" i="10" s="1"/>
  <c r="DZ13" i="10" s="1"/>
  <c r="DZ14" i="10" s="1"/>
  <c r="DZ15" i="10" s="1"/>
  <c r="DZ16" i="10" s="1"/>
  <c r="DZ17" i="10" s="1"/>
  <c r="DZ18" i="10" s="1"/>
  <c r="DZ19" i="10" s="1"/>
  <c r="DZ20" i="10" s="1"/>
  <c r="DZ21" i="10" s="1"/>
  <c r="DZ22" i="10" s="1"/>
  <c r="DZ23" i="10" s="1"/>
  <c r="BX12" i="10"/>
  <c r="BX19" i="10"/>
  <c r="BT4" i="10"/>
  <c r="EK30" i="10" s="1"/>
  <c r="BX25" i="10"/>
  <c r="CD25" i="10"/>
  <c r="CR25" i="10" s="1"/>
  <c r="BU25" i="10"/>
  <c r="BV25" i="10"/>
  <c r="EC26" i="10"/>
  <c r="EE26" i="10"/>
  <c r="EF26" i="10" s="1"/>
  <c r="EE12" i="10"/>
  <c r="EF12" i="10" s="1"/>
  <c r="EE22" i="10"/>
  <c r="EF22" i="10" s="1"/>
  <c r="EF18" i="10"/>
  <c r="DC22" i="10"/>
  <c r="EM33" i="10"/>
  <c r="CW23" i="10"/>
  <c r="CH25" i="10"/>
  <c r="CW25" i="10"/>
  <c r="DC14" i="10"/>
  <c r="BY14" i="10"/>
  <c r="CW8" i="10"/>
  <c r="EE28" i="10"/>
  <c r="BY27" i="10"/>
  <c r="FE30" i="10"/>
  <c r="EC25" i="10"/>
  <c r="EE25" i="10" s="1"/>
  <c r="CD24" i="10"/>
  <c r="CR24" i="10" s="1"/>
  <c r="BX24" i="10"/>
  <c r="BV24" i="10"/>
  <c r="BY20" i="10"/>
  <c r="AG66" i="10"/>
  <c r="AH65" i="10"/>
  <c r="CW16" i="10"/>
  <c r="EE15" i="10"/>
  <c r="BZ21" i="10"/>
  <c r="CA21" i="10" s="1"/>
  <c r="BY8" i="10"/>
  <c r="CW9" i="10"/>
  <c r="EE6" i="10"/>
  <c r="BX66" i="10"/>
  <c r="BX61" i="10"/>
  <c r="BX58" i="10"/>
  <c r="BX54" i="10"/>
  <c r="BX53" i="10"/>
  <c r="BX65" i="10"/>
  <c r="BX59" i="10"/>
  <c r="BX55" i="10"/>
  <c r="BX64" i="10"/>
  <c r="BX63" i="10"/>
  <c r="BQ58" i="10"/>
  <c r="BX57" i="10"/>
  <c r="BX68" i="10"/>
  <c r="BX67" i="10"/>
  <c r="BX62" i="10"/>
  <c r="BX60" i="10"/>
  <c r="BQ59" i="10"/>
  <c r="BX56" i="10"/>
  <c r="DC25" i="10"/>
  <c r="BY25" i="10"/>
  <c r="DC24" i="10"/>
  <c r="BY24" i="10"/>
  <c r="CB24" i="10"/>
  <c r="EE23" i="10"/>
  <c r="CW18" i="10"/>
  <c r="CW17" i="10"/>
  <c r="EE16" i="10"/>
  <c r="EE14" i="10"/>
  <c r="CW13" i="10"/>
  <c r="CW12" i="10"/>
  <c r="BZ15" i="10"/>
  <c r="CA15" i="10" s="1"/>
  <c r="CM15" i="10"/>
  <c r="CX15" i="10"/>
  <c r="CW6" i="10"/>
  <c r="DC5" i="10"/>
  <c r="BY5" i="10"/>
  <c r="CW19" i="10"/>
  <c r="CW14" i="10"/>
  <c r="DC12" i="10"/>
  <c r="DC11" i="10"/>
  <c r="BY11" i="10"/>
  <c r="CW10" i="10"/>
  <c r="E36" i="3"/>
  <c r="F36" i="3"/>
  <c r="H36" i="3"/>
  <c r="I36" i="3"/>
  <c r="DC19" i="10" l="1"/>
  <c r="BY13" i="10"/>
  <c r="BZ13" i="10" s="1"/>
  <c r="CA13" i="10" s="1"/>
  <c r="EE19" i="10"/>
  <c r="EF19" i="10" s="1"/>
  <c r="DC17" i="10"/>
  <c r="BY16" i="10"/>
  <c r="BY7" i="10"/>
  <c r="BY10" i="10"/>
  <c r="DC6" i="10"/>
  <c r="DC18" i="10"/>
  <c r="CX21" i="10"/>
  <c r="EC5" i="10"/>
  <c r="EE5" i="10" s="1"/>
  <c r="EF5" i="10" s="1"/>
  <c r="CH24" i="10"/>
  <c r="BV4" i="10"/>
  <c r="BU4" i="10"/>
  <c r="BY4" i="10" s="1"/>
  <c r="CD4" i="10"/>
  <c r="CR4" i="10" s="1"/>
  <c r="DA4" i="10" s="1"/>
  <c r="BY23" i="10"/>
  <c r="BZ23" i="10" s="1"/>
  <c r="CA23" i="10" s="1"/>
  <c r="CB23" i="10" s="1"/>
  <c r="CH23" i="10" s="1"/>
  <c r="BU26" i="10"/>
  <c r="EC27" i="10"/>
  <c r="EE27" i="10" s="1"/>
  <c r="FG30" i="10"/>
  <c r="BV26" i="10"/>
  <c r="BX26" i="10"/>
  <c r="CD26" i="10"/>
  <c r="CR26" i="10" s="1"/>
  <c r="CW26" i="10"/>
  <c r="CH27" i="10"/>
  <c r="CQ27" i="10" s="1"/>
  <c r="BX4" i="10"/>
  <c r="BY9" i="10"/>
  <c r="CX9" i="10" s="1"/>
  <c r="CM23" i="10"/>
  <c r="CM13" i="10"/>
  <c r="CX13" i="10"/>
  <c r="CQ24" i="10"/>
  <c r="DJ4" i="10"/>
  <c r="BZ11" i="10"/>
  <c r="CA11" i="10" s="1"/>
  <c r="CM11" i="10"/>
  <c r="CX11" i="10"/>
  <c r="EF14" i="10"/>
  <c r="EF23" i="10"/>
  <c r="CB21" i="10"/>
  <c r="CH21" i="10" s="1"/>
  <c r="CQ21" i="10" s="1"/>
  <c r="BZ17" i="10"/>
  <c r="CA17" i="10" s="1"/>
  <c r="CX17" i="10"/>
  <c r="CM17" i="10"/>
  <c r="CM27" i="10"/>
  <c r="BZ27" i="10"/>
  <c r="CX27" i="10"/>
  <c r="EF7" i="10"/>
  <c r="BZ18" i="10"/>
  <c r="CA18" i="10" s="1"/>
  <c r="CX18" i="10"/>
  <c r="CM18" i="10"/>
  <c r="CQ25" i="10"/>
  <c r="EF8" i="10"/>
  <c r="CM5" i="10"/>
  <c r="CX5" i="10"/>
  <c r="BZ5" i="10"/>
  <c r="CA5" i="10" s="1"/>
  <c r="CX10" i="10"/>
  <c r="BZ10" i="10"/>
  <c r="CA10" i="10" s="1"/>
  <c r="CM10" i="10"/>
  <c r="EF16" i="10"/>
  <c r="CQ26" i="10"/>
  <c r="BZ8" i="10"/>
  <c r="CA8" i="10" s="1"/>
  <c r="CX8" i="10"/>
  <c r="CM8" i="10"/>
  <c r="EF28" i="10"/>
  <c r="EF13" i="10"/>
  <c r="CM22" i="10"/>
  <c r="CX22" i="10"/>
  <c r="BZ22" i="10"/>
  <c r="CA22" i="10" s="1"/>
  <c r="EF9" i="10"/>
  <c r="CB15" i="10"/>
  <c r="CH15" i="10" s="1"/>
  <c r="CQ15" i="10" s="1"/>
  <c r="CX19" i="10"/>
  <c r="BZ19" i="10"/>
  <c r="CA19" i="10" s="1"/>
  <c r="CM19" i="10"/>
  <c r="CM25" i="10"/>
  <c r="CX25" i="10"/>
  <c r="BZ25" i="10"/>
  <c r="EF6" i="10"/>
  <c r="CB13" i="10"/>
  <c r="CH13" i="10" s="1"/>
  <c r="CQ13" i="10" s="1"/>
  <c r="BZ7" i="10"/>
  <c r="CA7" i="10" s="1"/>
  <c r="CX7" i="10"/>
  <c r="CM7" i="10"/>
  <c r="CX14" i="10"/>
  <c r="CM14" i="10"/>
  <c r="BZ14" i="10"/>
  <c r="CA14" i="10" s="1"/>
  <c r="EF21" i="10"/>
  <c r="EF20" i="10"/>
  <c r="CM12" i="10"/>
  <c r="CX12" i="10"/>
  <c r="BZ12" i="10"/>
  <c r="CA12" i="10" s="1"/>
  <c r="EF27" i="10"/>
  <c r="CM4" i="10"/>
  <c r="EF11" i="10"/>
  <c r="CX24" i="10"/>
  <c r="CM24" i="10"/>
  <c r="BZ24" i="10"/>
  <c r="BZ6" i="10"/>
  <c r="CA6" i="10" s="1"/>
  <c r="CX6" i="10"/>
  <c r="CM6" i="10"/>
  <c r="EF15" i="10"/>
  <c r="AG67" i="10"/>
  <c r="AH66" i="10"/>
  <c r="CX20" i="10"/>
  <c r="CM20" i="10"/>
  <c r="BZ20" i="10"/>
  <c r="CA20" i="10" s="1"/>
  <c r="EF25" i="10"/>
  <c r="EN33" i="10"/>
  <c r="E5" i="8"/>
  <c r="E6" i="8" s="1"/>
  <c r="E7" i="8" s="1"/>
  <c r="E8" i="8" s="1"/>
  <c r="E9" i="8" s="1"/>
  <c r="E10" i="8" s="1"/>
  <c r="E11" i="8" s="1"/>
  <c r="F5" i="8"/>
  <c r="F6" i="8" s="1"/>
  <c r="F7" i="8" s="1"/>
  <c r="F8" i="8" s="1"/>
  <c r="F9" i="8" s="1"/>
  <c r="F10" i="8" s="1"/>
  <c r="F11" i="8" s="1"/>
  <c r="G5" i="8"/>
  <c r="G6" i="8" s="1"/>
  <c r="G7" i="8" s="1"/>
  <c r="G8" i="8" s="1"/>
  <c r="G9" i="8" s="1"/>
  <c r="G10" i="8" s="1"/>
  <c r="G11" i="8" s="1"/>
  <c r="H5" i="8"/>
  <c r="H6" i="8"/>
  <c r="H7" i="8" s="1"/>
  <c r="H8" i="8" s="1"/>
  <c r="H9" i="8" s="1"/>
  <c r="H10" i="8" s="1"/>
  <c r="H11" i="8" s="1"/>
  <c r="D5" i="8"/>
  <c r="D6" i="8" s="1"/>
  <c r="D7" i="8" s="1"/>
  <c r="D8" i="8" s="1"/>
  <c r="D9" i="8" s="1"/>
  <c r="D10" i="8" s="1"/>
  <c r="D11" i="8" s="1"/>
  <c r="CM9" i="10" l="1"/>
  <c r="CX23" i="10"/>
  <c r="BZ16" i="10"/>
  <c r="CA16" i="10" s="1"/>
  <c r="CB16" i="10" s="1"/>
  <c r="CH16" i="10" s="1"/>
  <c r="CM16" i="10"/>
  <c r="CX16" i="10"/>
  <c r="BZ4" i="10"/>
  <c r="CA4" i="10"/>
  <c r="CX4" i="10"/>
  <c r="DC4" i="10"/>
  <c r="BY26" i="10"/>
  <c r="DC26" i="10"/>
  <c r="BZ9" i="10"/>
  <c r="CA9" i="10" s="1"/>
  <c r="CB9" i="10" s="1"/>
  <c r="CH9" i="10" s="1"/>
  <c r="CQ9" i="10" s="1"/>
  <c r="CB12" i="10"/>
  <c r="CH12" i="10" s="1"/>
  <c r="CB18" i="10"/>
  <c r="CH18" i="10" s="1"/>
  <c r="CQ18" i="10" s="1"/>
  <c r="CB6" i="10"/>
  <c r="CH6" i="10" s="1"/>
  <c r="CB19" i="10"/>
  <c r="CH19" i="10" s="1"/>
  <c r="CQ19" i="10" s="1"/>
  <c r="CB22" i="10"/>
  <c r="CH22" i="10" s="1"/>
  <c r="CB8" i="10"/>
  <c r="CH8" i="10" s="1"/>
  <c r="CB10" i="10"/>
  <c r="CH10" i="10" s="1"/>
  <c r="EO33" i="10"/>
  <c r="BG5" i="10"/>
  <c r="D24" i="10" s="1"/>
  <c r="CB5" i="10"/>
  <c r="CH5" i="10" s="1"/>
  <c r="CQ5" i="10" s="1"/>
  <c r="CQ16" i="10"/>
  <c r="CB20" i="10"/>
  <c r="CH20" i="10" s="1"/>
  <c r="CQ20" i="10" s="1"/>
  <c r="AG68" i="10"/>
  <c r="AH67" i="10"/>
  <c r="CQ23" i="10"/>
  <c r="CB17" i="10"/>
  <c r="CH17" i="10" s="1"/>
  <c r="CB14" i="10"/>
  <c r="CH14" i="10" s="1"/>
  <c r="CQ14" i="10" s="1"/>
  <c r="CB7" i="10"/>
  <c r="CH7" i="10" s="1"/>
  <c r="CB11" i="10"/>
  <c r="CH11" i="10" s="1"/>
  <c r="CQ11" i="10" s="1"/>
  <c r="DL4" i="10"/>
  <c r="DP4" i="10" s="1"/>
  <c r="AZ28" i="1"/>
  <c r="BO28" i="1" s="1"/>
  <c r="DV4" i="10" l="1"/>
  <c r="DW4" i="10" s="1"/>
  <c r="DX4" i="10" s="1"/>
  <c r="BE4" i="10" s="1"/>
  <c r="CB4" i="10"/>
  <c r="BG4" i="10"/>
  <c r="C24" i="10" s="1"/>
  <c r="BZ26" i="10"/>
  <c r="CM26" i="10"/>
  <c r="CX26" i="10"/>
  <c r="DR4" i="10"/>
  <c r="DS4" i="10" s="1"/>
  <c r="CQ8" i="10"/>
  <c r="EP33" i="10"/>
  <c r="DK4" i="10"/>
  <c r="CQ7" i="10"/>
  <c r="CQ17" i="10"/>
  <c r="AH68" i="10"/>
  <c r="AG69" i="10"/>
  <c r="CQ10" i="10"/>
  <c r="CQ22" i="10"/>
  <c r="CQ6" i="10"/>
  <c r="CQ12" i="10"/>
  <c r="CC4" i="10" l="1"/>
  <c r="CI4" i="10" s="1"/>
  <c r="CS4" i="10" s="1"/>
  <c r="CT4" i="10" s="1"/>
  <c r="CH4" i="10"/>
  <c r="DF5" i="10"/>
  <c r="DT4" i="10"/>
  <c r="BC4" i="10" s="1"/>
  <c r="AG70" i="10"/>
  <c r="AH69" i="10"/>
  <c r="EP57" i="10"/>
  <c r="EK9" i="10" s="1"/>
  <c r="EQ33" i="10"/>
  <c r="B33" i="1"/>
  <c r="CQ4" i="10" l="1"/>
  <c r="DB4" i="10" s="1"/>
  <c r="DD4" i="10" s="1"/>
  <c r="CU4" i="10"/>
  <c r="CV4" i="10"/>
  <c r="DV5" i="10"/>
  <c r="DW5" i="10" s="1"/>
  <c r="DA5" i="10"/>
  <c r="DB5" i="10" s="1"/>
  <c r="DD5" i="10" s="1"/>
  <c r="CC5" i="10"/>
  <c r="BB5" i="10"/>
  <c r="DG5" i="10"/>
  <c r="DH5" i="10" s="1"/>
  <c r="ER33" i="10"/>
  <c r="AG71" i="10"/>
  <c r="AH70" i="10"/>
  <c r="AZ33" i="1"/>
  <c r="F9" i="3" s="1"/>
  <c r="AZ32" i="1"/>
  <c r="AZ31" i="1"/>
  <c r="AZ5" i="1"/>
  <c r="B13" i="3" s="1"/>
  <c r="J13" i="3" s="1"/>
  <c r="AZ6" i="1"/>
  <c r="B14" i="3" s="1"/>
  <c r="J14" i="3" s="1"/>
  <c r="AZ7" i="1"/>
  <c r="B15" i="3" s="1"/>
  <c r="J15" i="3" s="1"/>
  <c r="AZ8" i="1"/>
  <c r="B16" i="3" s="1"/>
  <c r="J16" i="3" s="1"/>
  <c r="AZ9" i="1"/>
  <c r="B17" i="3" s="1"/>
  <c r="J17" i="3" s="1"/>
  <c r="AZ10" i="1"/>
  <c r="B18" i="3" s="1"/>
  <c r="J18" i="3" s="1"/>
  <c r="AZ11" i="1"/>
  <c r="B19" i="3" s="1"/>
  <c r="J19" i="3" s="1"/>
  <c r="AZ12" i="1"/>
  <c r="B20" i="3" s="1"/>
  <c r="J20" i="3" s="1"/>
  <c r="AZ13" i="1"/>
  <c r="B21" i="3" s="1"/>
  <c r="J21" i="3" s="1"/>
  <c r="AZ14" i="1"/>
  <c r="B22" i="3" s="1"/>
  <c r="J22" i="3" s="1"/>
  <c r="AZ15" i="1"/>
  <c r="B23" i="3" s="1"/>
  <c r="J23" i="3" s="1"/>
  <c r="AZ16" i="1"/>
  <c r="B24" i="3" s="1"/>
  <c r="J24" i="3" s="1"/>
  <c r="AZ17" i="1"/>
  <c r="B25" i="3" s="1"/>
  <c r="J25" i="3" s="1"/>
  <c r="AZ18" i="1"/>
  <c r="B26" i="3" s="1"/>
  <c r="J26" i="3" s="1"/>
  <c r="AZ19" i="1"/>
  <c r="B27" i="3" s="1"/>
  <c r="J27" i="3" s="1"/>
  <c r="AZ20" i="1"/>
  <c r="B28" i="3" s="1"/>
  <c r="J28" i="3" s="1"/>
  <c r="AZ21" i="1"/>
  <c r="B29" i="3" s="1"/>
  <c r="J29" i="3" s="1"/>
  <c r="AZ22" i="1"/>
  <c r="B30" i="3" s="1"/>
  <c r="J30" i="3" s="1"/>
  <c r="AZ23" i="1"/>
  <c r="B31" i="3" s="1"/>
  <c r="J31" i="3" s="1"/>
  <c r="AZ24" i="1"/>
  <c r="B32" i="3" s="1"/>
  <c r="J32" i="3" s="1"/>
  <c r="AZ25" i="1"/>
  <c r="B33" i="3" s="1"/>
  <c r="J33" i="3" s="1"/>
  <c r="AZ26" i="1"/>
  <c r="B34" i="3" s="1"/>
  <c r="J34" i="3" s="1"/>
  <c r="AZ27" i="1"/>
  <c r="B35" i="3" s="1"/>
  <c r="J35" i="3" s="1"/>
  <c r="AZ4" i="1"/>
  <c r="B12" i="3" s="1"/>
  <c r="J12" i="3" s="1"/>
  <c r="BW4" i="10" l="1"/>
  <c r="BF4" i="10"/>
  <c r="DY6" i="10"/>
  <c r="EB6" i="10" s="1"/>
  <c r="BG6" i="10" s="1"/>
  <c r="E24" i="10" s="1"/>
  <c r="DE5" i="10"/>
  <c r="CI5" i="10"/>
  <c r="CS5" i="10" s="1"/>
  <c r="CT5" i="10" s="1"/>
  <c r="AH71" i="10"/>
  <c r="AG72" i="10"/>
  <c r="ES33" i="10"/>
  <c r="D22" i="10"/>
  <c r="DX5" i="10"/>
  <c r="BE5" i="10" s="1"/>
  <c r="EG5" i="10"/>
  <c r="EH5" i="10" s="1"/>
  <c r="DN5" i="10" s="1"/>
  <c r="C13" i="3"/>
  <c r="DM5" i="10" s="1"/>
  <c r="BD5" i="10" s="1"/>
  <c r="D23" i="10" s="1"/>
  <c r="C19" i="3"/>
  <c r="DM11" i="10" s="1"/>
  <c r="C21" i="3"/>
  <c r="DM13" i="10" s="1"/>
  <c r="C24" i="3"/>
  <c r="DM16" i="10" s="1"/>
  <c r="C26" i="3"/>
  <c r="DM18" i="10" s="1"/>
  <c r="C29" i="3"/>
  <c r="DM21" i="10" s="1"/>
  <c r="C32" i="3"/>
  <c r="DM24" i="10" s="1"/>
  <c r="C34" i="3"/>
  <c r="DM26" i="10" s="1"/>
  <c r="C15" i="3"/>
  <c r="DM7" i="10" s="1"/>
  <c r="C18" i="3"/>
  <c r="DM10" i="10" s="1"/>
  <c r="C31" i="3"/>
  <c r="DM23" i="10" s="1"/>
  <c r="C12" i="3"/>
  <c r="DM4" i="10" s="1"/>
  <c r="C17" i="3"/>
  <c r="DM9" i="10" s="1"/>
  <c r="C20" i="3"/>
  <c r="DM12" i="10" s="1"/>
  <c r="C23" i="3"/>
  <c r="DM15" i="10" s="1"/>
  <c r="C28" i="3"/>
  <c r="DM20" i="10" s="1"/>
  <c r="C30" i="3"/>
  <c r="DM22" i="10" s="1"/>
  <c r="C33" i="3"/>
  <c r="DM25" i="10" s="1"/>
  <c r="C14" i="3"/>
  <c r="DM6" i="10" s="1"/>
  <c r="C16" i="3"/>
  <c r="DM8" i="10" s="1"/>
  <c r="C22" i="3"/>
  <c r="DM14" i="10" s="1"/>
  <c r="C27" i="3"/>
  <c r="DM19" i="10" s="1"/>
  <c r="C35" i="3"/>
  <c r="DM27" i="10" s="1"/>
  <c r="C25" i="3"/>
  <c r="DM17" i="10" s="1"/>
  <c r="B42" i="1"/>
  <c r="B41" i="1"/>
  <c r="B39" i="1"/>
  <c r="B37" i="1"/>
  <c r="B36" i="1"/>
  <c r="B35" i="1"/>
  <c r="B34" i="1"/>
  <c r="B31" i="1"/>
  <c r="BD6" i="10" l="1"/>
  <c r="E23" i="10" s="1"/>
  <c r="BD4" i="10"/>
  <c r="DM29" i="10"/>
  <c r="ET33" i="10"/>
  <c r="AG73" i="10"/>
  <c r="AH72" i="10"/>
  <c r="DO5" i="10"/>
  <c r="EJ5" i="10"/>
  <c r="EL34" i="10" s="1"/>
  <c r="DJ5" i="10"/>
  <c r="EL32" i="1"/>
  <c r="DP6" i="1" s="1"/>
  <c r="EM32" i="1"/>
  <c r="DP7" i="1" s="1"/>
  <c r="EN32" i="1"/>
  <c r="DP8" i="1" s="1"/>
  <c r="EO32" i="1"/>
  <c r="DP9" i="1" s="1"/>
  <c r="EP32" i="1"/>
  <c r="DP10" i="1" s="1"/>
  <c r="EQ32" i="1"/>
  <c r="DP11" i="1" s="1"/>
  <c r="ER32" i="1"/>
  <c r="DP12" i="1" s="1"/>
  <c r="ES32" i="1"/>
  <c r="DP13" i="1" s="1"/>
  <c r="ET32" i="1"/>
  <c r="DP14" i="1" s="1"/>
  <c r="EU32" i="1"/>
  <c r="DP15" i="1" s="1"/>
  <c r="EV32" i="1"/>
  <c r="DP16" i="1" s="1"/>
  <c r="EW32" i="1"/>
  <c r="DP17" i="1" s="1"/>
  <c r="EX32" i="1"/>
  <c r="DP18" i="1" s="1"/>
  <c r="EY32" i="1"/>
  <c r="DP19" i="1" s="1"/>
  <c r="EZ32" i="1"/>
  <c r="DP20" i="1" s="1"/>
  <c r="FA32" i="1"/>
  <c r="DP21" i="1" s="1"/>
  <c r="FB32" i="1"/>
  <c r="DP22" i="1" s="1"/>
  <c r="FC32" i="1"/>
  <c r="DP23" i="1" s="1"/>
  <c r="FD32" i="1"/>
  <c r="DP24" i="1" s="1"/>
  <c r="FE32" i="1"/>
  <c r="DP25" i="1" s="1"/>
  <c r="FF32" i="1"/>
  <c r="DP26" i="1" s="1"/>
  <c r="FG32" i="1"/>
  <c r="DP27" i="1" s="1"/>
  <c r="EK32" i="1"/>
  <c r="DP5" i="1" s="1"/>
  <c r="EJ32" i="1"/>
  <c r="CU5" i="10"/>
  <c r="DL5" i="10" l="1"/>
  <c r="DP5" i="10" s="1"/>
  <c r="EM34" i="10"/>
  <c r="EL58" i="10"/>
  <c r="EL59" i="10" s="1"/>
  <c r="EL6" i="10" s="1"/>
  <c r="AG74" i="10"/>
  <c r="AH73" i="10"/>
  <c r="BW5" i="10"/>
  <c r="BF5" i="10"/>
  <c r="DY7" i="10"/>
  <c r="EU33" i="10"/>
  <c r="CV5" i="10"/>
  <c r="DP4" i="1"/>
  <c r="EN34" i="10" l="1"/>
  <c r="DR5" i="10"/>
  <c r="DS5" i="10" s="1"/>
  <c r="EB7" i="10"/>
  <c r="EV33" i="10"/>
  <c r="AH74" i="10"/>
  <c r="AG75" i="10"/>
  <c r="DK5" i="10"/>
  <c r="DL14" i="1"/>
  <c r="DL18" i="1"/>
  <c r="DL22" i="1"/>
  <c r="DL15" i="1"/>
  <c r="DL19" i="1"/>
  <c r="DL23" i="1"/>
  <c r="DL16" i="1"/>
  <c r="DL20" i="1"/>
  <c r="DL24" i="1"/>
  <c r="DL17" i="1"/>
  <c r="DL21" i="1"/>
  <c r="DE4" i="1"/>
  <c r="E30" i="11" s="1"/>
  <c r="CC106" i="1"/>
  <c r="CA106" i="1"/>
  <c r="CD106" i="1" s="1"/>
  <c r="CC105" i="1"/>
  <c r="CA105" i="1"/>
  <c r="CD105" i="1" s="1"/>
  <c r="CC104" i="1"/>
  <c r="CA104" i="1"/>
  <c r="CD104" i="1" s="1"/>
  <c r="CC103" i="1"/>
  <c r="CA103" i="1"/>
  <c r="CD103" i="1" s="1"/>
  <c r="CC102" i="1"/>
  <c r="CA102" i="1"/>
  <c r="CD102" i="1" s="1"/>
  <c r="CC101" i="1"/>
  <c r="CA101" i="1"/>
  <c r="CD101" i="1" s="1"/>
  <c r="CC100" i="1"/>
  <c r="CA100" i="1"/>
  <c r="CD100" i="1" s="1"/>
  <c r="CC99" i="1"/>
  <c r="CA99" i="1"/>
  <c r="CD99" i="1" s="1"/>
  <c r="CC98" i="1"/>
  <c r="CA98" i="1"/>
  <c r="CD98" i="1" s="1"/>
  <c r="CC97" i="1"/>
  <c r="CA97" i="1"/>
  <c r="CD97" i="1" s="1"/>
  <c r="CC96" i="1"/>
  <c r="CA96" i="1"/>
  <c r="CD96" i="1" s="1"/>
  <c r="CC95" i="1"/>
  <c r="CA95" i="1"/>
  <c r="CD95" i="1" s="1"/>
  <c r="CC94" i="1"/>
  <c r="CA94" i="1"/>
  <c r="CD94" i="1" s="1"/>
  <c r="BV94" i="1"/>
  <c r="CC93" i="1"/>
  <c r="CA93" i="1"/>
  <c r="CD93" i="1" s="1"/>
  <c r="BV93" i="1"/>
  <c r="CC92" i="1"/>
  <c r="CA92" i="1"/>
  <c r="CD92" i="1" s="1"/>
  <c r="BV92" i="1"/>
  <c r="CC91" i="1"/>
  <c r="CA91" i="1"/>
  <c r="CD91" i="1" s="1"/>
  <c r="BV91" i="1"/>
  <c r="CC90" i="1"/>
  <c r="CA90" i="1"/>
  <c r="CD90" i="1" s="1"/>
  <c r="CC89" i="1"/>
  <c r="CA89" i="1"/>
  <c r="CD89" i="1" s="1"/>
  <c r="CD88" i="1"/>
  <c r="CC88" i="1"/>
  <c r="CB87" i="1"/>
  <c r="BT78" i="1"/>
  <c r="BQ79" i="1" s="1"/>
  <c r="BQ76" i="1"/>
  <c r="BO77" i="1" s="1"/>
  <c r="BQ71" i="1"/>
  <c r="BO72" i="1" s="1"/>
  <c r="BO73" i="1" s="1"/>
  <c r="BV68" i="1"/>
  <c r="BV67" i="1"/>
  <c r="BV66" i="1"/>
  <c r="BV65" i="1"/>
  <c r="BV64" i="1"/>
  <c r="BV63" i="1"/>
  <c r="BV62" i="1"/>
  <c r="AG62" i="1"/>
  <c r="AH62" i="1" s="1"/>
  <c r="BV61" i="1"/>
  <c r="AH61" i="1"/>
  <c r="BV60" i="1"/>
  <c r="BV59" i="1"/>
  <c r="BV58" i="1"/>
  <c r="BV57" i="1"/>
  <c r="BV56" i="1"/>
  <c r="BV55" i="1"/>
  <c r="BV54" i="1"/>
  <c r="BV53" i="1"/>
  <c r="BP42" i="1"/>
  <c r="BP41" i="1"/>
  <c r="AZ40" i="1"/>
  <c r="BO39" i="1"/>
  <c r="BP39" i="1" s="1"/>
  <c r="AI39" i="1"/>
  <c r="AH39" i="1"/>
  <c r="AG39" i="1"/>
  <c r="BO35" i="1"/>
  <c r="BP35" i="1" s="1"/>
  <c r="BO34" i="1"/>
  <c r="BP34" i="1" s="1"/>
  <c r="BV38" i="1" s="1"/>
  <c r="BO33" i="1"/>
  <c r="BP33" i="1" s="1"/>
  <c r="BV37" i="1" s="1"/>
  <c r="BV32" i="1"/>
  <c r="BV33" i="1" s="1"/>
  <c r="BO32" i="1"/>
  <c r="BP32" i="1" s="1"/>
  <c r="BP63" i="1" s="1"/>
  <c r="BO31" i="1"/>
  <c r="BP31" i="1" s="1"/>
  <c r="CN11" i="1" s="1"/>
  <c r="CO11" i="1" s="1"/>
  <c r="BO30" i="1"/>
  <c r="BP30" i="1" s="1"/>
  <c r="BP54" i="1" s="1"/>
  <c r="CL29" i="1"/>
  <c r="BY29" i="1"/>
  <c r="BO29" i="1"/>
  <c r="CD27" i="1"/>
  <c r="CE27" i="1" s="1"/>
  <c r="BR27" i="1"/>
  <c r="BP27" i="1"/>
  <c r="BQ27" i="1" s="1"/>
  <c r="CD26" i="1"/>
  <c r="CE26" i="1" s="1"/>
  <c r="CI26" i="1" s="1"/>
  <c r="CJ26" i="1" s="1"/>
  <c r="BR26" i="1"/>
  <c r="BS26" i="1" s="1"/>
  <c r="BU26" i="1" s="1"/>
  <c r="BP26" i="1"/>
  <c r="BQ26" i="1" s="1"/>
  <c r="CD25" i="1"/>
  <c r="CE25" i="1" s="1"/>
  <c r="BR25" i="1"/>
  <c r="BS25" i="1" s="1"/>
  <c r="BP25" i="1"/>
  <c r="BQ25" i="1" s="1"/>
  <c r="CD24" i="1"/>
  <c r="CE24" i="1" s="1"/>
  <c r="BR24" i="1"/>
  <c r="BS24" i="1" s="1"/>
  <c r="BP24" i="1"/>
  <c r="BQ24" i="1" s="1"/>
  <c r="D50" i="11" s="1"/>
  <c r="CD23" i="1"/>
  <c r="CE23" i="1" s="1"/>
  <c r="CI23" i="1" s="1"/>
  <c r="CJ23" i="1" s="1"/>
  <c r="BR23" i="1"/>
  <c r="BS23" i="1" s="1"/>
  <c r="BW23" i="1" s="1"/>
  <c r="BP23" i="1"/>
  <c r="BQ23" i="1" s="1"/>
  <c r="CD22" i="1"/>
  <c r="CE22" i="1" s="1"/>
  <c r="CI22" i="1" s="1"/>
  <c r="CJ22" i="1" s="1"/>
  <c r="BR22" i="1"/>
  <c r="BS22" i="1" s="1"/>
  <c r="EB23" i="1" s="1"/>
  <c r="BP22" i="1"/>
  <c r="BQ22" i="1" s="1"/>
  <c r="CD21" i="1"/>
  <c r="CE21" i="1" s="1"/>
  <c r="BR21" i="1"/>
  <c r="BS21" i="1" s="1"/>
  <c r="EB22" i="1" s="1"/>
  <c r="BP21" i="1"/>
  <c r="BQ21" i="1" s="1"/>
  <c r="CD20" i="1"/>
  <c r="CE20" i="1" s="1"/>
  <c r="BR20" i="1"/>
  <c r="BS20" i="1" s="1"/>
  <c r="EB21" i="1" s="1"/>
  <c r="BP20" i="1"/>
  <c r="BQ20" i="1" s="1"/>
  <c r="D46" i="11" s="1"/>
  <c r="CD19" i="1"/>
  <c r="CE19" i="1" s="1"/>
  <c r="BR19" i="1"/>
  <c r="BS19" i="1" s="1"/>
  <c r="EB20" i="1" s="1"/>
  <c r="BP19" i="1"/>
  <c r="BQ19" i="1" s="1"/>
  <c r="CD18" i="1"/>
  <c r="CE18" i="1" s="1"/>
  <c r="BR18" i="1"/>
  <c r="BS18" i="1" s="1"/>
  <c r="BW18" i="1" s="1"/>
  <c r="BP18" i="1"/>
  <c r="BQ18" i="1" s="1"/>
  <c r="CD17" i="1"/>
  <c r="CE17" i="1" s="1"/>
  <c r="BR17" i="1"/>
  <c r="BS17" i="1" s="1"/>
  <c r="BU17" i="1" s="1"/>
  <c r="BP17" i="1"/>
  <c r="BQ17" i="1" s="1"/>
  <c r="CD16" i="1"/>
  <c r="CE16" i="1" s="1"/>
  <c r="BR16" i="1"/>
  <c r="BS16" i="1" s="1"/>
  <c r="BW16" i="1" s="1"/>
  <c r="BP16" i="1"/>
  <c r="BQ16" i="1" s="1"/>
  <c r="D42" i="11" s="1"/>
  <c r="CD15" i="1"/>
  <c r="CE15" i="1" s="1"/>
  <c r="BR15" i="1"/>
  <c r="BS15" i="1" s="1"/>
  <c r="EB16" i="1" s="1"/>
  <c r="BP15" i="1"/>
  <c r="BQ15" i="1" s="1"/>
  <c r="CD14" i="1"/>
  <c r="CE14" i="1" s="1"/>
  <c r="BR14" i="1"/>
  <c r="BS14" i="1" s="1"/>
  <c r="BP14" i="1"/>
  <c r="BQ14" i="1" s="1"/>
  <c r="CD13" i="1"/>
  <c r="CE13" i="1" s="1"/>
  <c r="BR13" i="1"/>
  <c r="BS13" i="1" s="1"/>
  <c r="ES30" i="1" s="1"/>
  <c r="BP13" i="1"/>
  <c r="BQ13" i="1" s="1"/>
  <c r="CD12" i="1"/>
  <c r="CE12" i="1" s="1"/>
  <c r="BR12" i="1"/>
  <c r="BP12" i="1"/>
  <c r="BQ12" i="1" s="1"/>
  <c r="D38" i="11" s="1"/>
  <c r="CD11" i="1"/>
  <c r="CE11" i="1" s="1"/>
  <c r="BR11" i="1"/>
  <c r="BS11" i="1" s="1"/>
  <c r="EQ30" i="1" s="1"/>
  <c r="BP11" i="1"/>
  <c r="BQ11" i="1" s="1"/>
  <c r="CD10" i="1"/>
  <c r="CE10" i="1" s="1"/>
  <c r="BR10" i="1"/>
  <c r="BS10" i="1" s="1"/>
  <c r="BP10" i="1"/>
  <c r="BQ10" i="1" s="1"/>
  <c r="CD9" i="1"/>
  <c r="CE9" i="1" s="1"/>
  <c r="BR9" i="1"/>
  <c r="BS9" i="1" s="1"/>
  <c r="BP9" i="1"/>
  <c r="BQ9" i="1" s="1"/>
  <c r="CD8" i="1"/>
  <c r="CE8" i="1" s="1"/>
  <c r="BR8" i="1"/>
  <c r="BP8" i="1"/>
  <c r="BQ8" i="1" s="1"/>
  <c r="D34" i="11" s="1"/>
  <c r="CD7" i="1"/>
  <c r="CE7" i="1" s="1"/>
  <c r="BR7" i="1"/>
  <c r="BS7" i="1" s="1"/>
  <c r="BP7" i="1"/>
  <c r="BQ7" i="1" s="1"/>
  <c r="CD6" i="1"/>
  <c r="CE6" i="1" s="1"/>
  <c r="BR6" i="1"/>
  <c r="BS6" i="1" s="1"/>
  <c r="BW6" i="1" s="1"/>
  <c r="BP6" i="1"/>
  <c r="BQ6" i="1" s="1"/>
  <c r="CD5" i="1"/>
  <c r="CE5" i="1" s="1"/>
  <c r="BR5" i="1"/>
  <c r="BP5" i="1"/>
  <c r="BQ5" i="1" s="1"/>
  <c r="CD4" i="1"/>
  <c r="CE4" i="1" s="1"/>
  <c r="BR4" i="1"/>
  <c r="BS4" i="1" s="1"/>
  <c r="BP4" i="1"/>
  <c r="BQ4" i="1" s="1"/>
  <c r="BD3" i="1"/>
  <c r="D45" i="11" l="1"/>
  <c r="D53" i="11"/>
  <c r="D33" i="11"/>
  <c r="D37" i="11"/>
  <c r="D41" i="11"/>
  <c r="D49" i="11"/>
  <c r="D32" i="11"/>
  <c r="D36" i="11"/>
  <c r="D40" i="11"/>
  <c r="D44" i="11"/>
  <c r="D48" i="11"/>
  <c r="D52" i="11"/>
  <c r="D31" i="11"/>
  <c r="D35" i="11"/>
  <c r="D39" i="11"/>
  <c r="D43" i="11"/>
  <c r="D47" i="11"/>
  <c r="D51" i="11"/>
  <c r="CK23" i="1"/>
  <c r="CK22" i="1"/>
  <c r="CK26" i="1"/>
  <c r="DF6" i="10"/>
  <c r="DT5" i="10"/>
  <c r="BC5" i="10" s="1"/>
  <c r="AG76" i="10"/>
  <c r="AH75" i="10"/>
  <c r="BD7" i="10"/>
  <c r="BG7" i="10"/>
  <c r="F24" i="10" s="1"/>
  <c r="EW33" i="10"/>
  <c r="EO34" i="10"/>
  <c r="EI48" i="1"/>
  <c r="EI49" i="1"/>
  <c r="EI51" i="1"/>
  <c r="EI52" i="1"/>
  <c r="EI53" i="1"/>
  <c r="EI54" i="1"/>
  <c r="EI33" i="1"/>
  <c r="EI47" i="1"/>
  <c r="EI50" i="1"/>
  <c r="DT26" i="1"/>
  <c r="EI34" i="1"/>
  <c r="EI35" i="1"/>
  <c r="EI37" i="1"/>
  <c r="EI38" i="1"/>
  <c r="EI39" i="1"/>
  <c r="EI40" i="1"/>
  <c r="EI41" i="1"/>
  <c r="EI42" i="1"/>
  <c r="EI43" i="1"/>
  <c r="EI44" i="1"/>
  <c r="EI45" i="1"/>
  <c r="DT17" i="1"/>
  <c r="BO14" i="1"/>
  <c r="CF12" i="1"/>
  <c r="CV12" i="1" s="1"/>
  <c r="CF8" i="1"/>
  <c r="CV8" i="1" s="1"/>
  <c r="CN7" i="1"/>
  <c r="CO7" i="1" s="1"/>
  <c r="CN6" i="1"/>
  <c r="CO6" i="1" s="1"/>
  <c r="BO79" i="1"/>
  <c r="CN9" i="1"/>
  <c r="CO9" i="1" s="1"/>
  <c r="BP29" i="1"/>
  <c r="CY14" i="1" s="1"/>
  <c r="BO6" i="1"/>
  <c r="BO12" i="1"/>
  <c r="BO22" i="1"/>
  <c r="BO8" i="1"/>
  <c r="BO10" i="1"/>
  <c r="BO20" i="1"/>
  <c r="BO16" i="1"/>
  <c r="BO18" i="1"/>
  <c r="AG63" i="1"/>
  <c r="AG64" i="1" s="1"/>
  <c r="BO5" i="1"/>
  <c r="DT4" i="1"/>
  <c r="BO11" i="1"/>
  <c r="BO13" i="1"/>
  <c r="BO15" i="1"/>
  <c r="BO19" i="1"/>
  <c r="BO21" i="1"/>
  <c r="BO23" i="1"/>
  <c r="D34" i="7"/>
  <c r="D37" i="7"/>
  <c r="D36" i="7"/>
  <c r="D33" i="7"/>
  <c r="D38" i="7"/>
  <c r="D40" i="7"/>
  <c r="D42" i="7"/>
  <c r="D44" i="7"/>
  <c r="D46" i="7"/>
  <c r="D48" i="7"/>
  <c r="D51" i="7"/>
  <c r="D31" i="7"/>
  <c r="D35" i="7"/>
  <c r="D43" i="7"/>
  <c r="D52" i="7"/>
  <c r="D39" i="7"/>
  <c r="D41" i="7"/>
  <c r="D45" i="7"/>
  <c r="D47" i="7"/>
  <c r="D49" i="7"/>
  <c r="D32" i="7"/>
  <c r="D50" i="7"/>
  <c r="D53" i="7"/>
  <c r="CN15" i="1"/>
  <c r="CO15" i="1" s="1"/>
  <c r="CN20" i="1"/>
  <c r="CO20" i="1" s="1"/>
  <c r="CF7" i="1"/>
  <c r="CV7" i="1" s="1"/>
  <c r="CN23" i="1"/>
  <c r="CO23" i="1" s="1"/>
  <c r="CN12" i="1"/>
  <c r="CO12" i="1" s="1"/>
  <c r="CN18" i="1"/>
  <c r="CO18" i="1" s="1"/>
  <c r="BS8" i="1"/>
  <c r="EN30" i="1" s="1"/>
  <c r="BS5" i="1"/>
  <c r="EB6" i="1" s="1"/>
  <c r="CN8" i="1"/>
  <c r="CO8" i="1" s="1"/>
  <c r="CN10" i="1"/>
  <c r="CO10" i="1" s="1"/>
  <c r="CN14" i="1"/>
  <c r="CO14" i="1" s="1"/>
  <c r="CN16" i="1"/>
  <c r="CO16" i="1" s="1"/>
  <c r="CN19" i="1"/>
  <c r="CO19" i="1" s="1"/>
  <c r="CN21" i="1"/>
  <c r="CO21" i="1" s="1"/>
  <c r="CN24" i="1"/>
  <c r="CO24" i="1" s="1"/>
  <c r="CN25" i="1"/>
  <c r="CO25" i="1" s="1"/>
  <c r="CN13" i="1"/>
  <c r="CO13" i="1" s="1"/>
  <c r="CN17" i="1"/>
  <c r="CO17" i="1" s="1"/>
  <c r="CN22" i="1"/>
  <c r="CO22" i="1" s="1"/>
  <c r="CN4" i="1"/>
  <c r="CO4" i="1" s="1"/>
  <c r="CN5" i="1"/>
  <c r="CO5" i="1" s="1"/>
  <c r="BW15" i="1"/>
  <c r="BW22" i="1"/>
  <c r="BW21" i="1"/>
  <c r="EB18" i="1"/>
  <c r="BT17" i="1"/>
  <c r="BX17" i="1" s="1"/>
  <c r="BW19" i="1"/>
  <c r="BW20" i="1"/>
  <c r="BT7" i="1"/>
  <c r="BX7" i="1" s="1"/>
  <c r="CL7" i="1" s="1"/>
  <c r="EP30" i="1"/>
  <c r="EB11" i="1"/>
  <c r="CC10" i="1"/>
  <c r="CQ10" i="1" s="1"/>
  <c r="BW10" i="1"/>
  <c r="EC7" i="1"/>
  <c r="EC9" i="1"/>
  <c r="BT9" i="1"/>
  <c r="CF9" i="1"/>
  <c r="BU10" i="1"/>
  <c r="BT4" i="1"/>
  <c r="CF4" i="1"/>
  <c r="CI4" i="1"/>
  <c r="CJ4" i="1" s="1"/>
  <c r="EM30" i="1"/>
  <c r="BW7" i="1"/>
  <c r="EB8" i="1"/>
  <c r="CC7" i="1"/>
  <c r="CQ7" i="1" s="1"/>
  <c r="BU7" i="1"/>
  <c r="EO30" i="1"/>
  <c r="CC9" i="1"/>
  <c r="CQ9" i="1" s="1"/>
  <c r="BU9" i="1"/>
  <c r="EB10" i="1"/>
  <c r="BW9" i="1"/>
  <c r="CF11" i="1"/>
  <c r="CF13" i="1"/>
  <c r="ET30" i="1"/>
  <c r="CC14" i="1"/>
  <c r="CQ14" i="1" s="1"/>
  <c r="BW14" i="1"/>
  <c r="EB15" i="1"/>
  <c r="BU14" i="1"/>
  <c r="EJ30" i="1"/>
  <c r="CC4" i="1"/>
  <c r="CQ4" i="1" s="1"/>
  <c r="BU4" i="1"/>
  <c r="EB5" i="1"/>
  <c r="BW4" i="1"/>
  <c r="CF5" i="1"/>
  <c r="EI36" i="1"/>
  <c r="BO7" i="1"/>
  <c r="DT7" i="1"/>
  <c r="CI5" i="1"/>
  <c r="CJ5" i="1" s="1"/>
  <c r="EL30" i="1"/>
  <c r="EB7" i="1"/>
  <c r="CC6" i="1"/>
  <c r="CQ6" i="1" s="1"/>
  <c r="BU6" i="1"/>
  <c r="CF6" i="1"/>
  <c r="EC8" i="1"/>
  <c r="CF10" i="1"/>
  <c r="CF14" i="1"/>
  <c r="BO4" i="1"/>
  <c r="DT5" i="1"/>
  <c r="BT6" i="1"/>
  <c r="DT6" i="1"/>
  <c r="EC6" i="1"/>
  <c r="BO9" i="1"/>
  <c r="EC10" i="1"/>
  <c r="BT10" i="1"/>
  <c r="BW11" i="1"/>
  <c r="CC11" i="1"/>
  <c r="CQ11" i="1" s="1"/>
  <c r="BS12" i="1"/>
  <c r="BT12" i="1" s="1"/>
  <c r="BU13" i="1"/>
  <c r="EC14" i="1"/>
  <c r="BT14" i="1"/>
  <c r="EV30" i="1"/>
  <c r="EB17" i="1"/>
  <c r="CC16" i="1"/>
  <c r="CQ16" i="1" s="1"/>
  <c r="BU16" i="1"/>
  <c r="CF16" i="1"/>
  <c r="EC18" i="1"/>
  <c r="BT18" i="1"/>
  <c r="EC24" i="1"/>
  <c r="BT24" i="1"/>
  <c r="EC25" i="1"/>
  <c r="EC11" i="1"/>
  <c r="BT11" i="1"/>
  <c r="DT9" i="1"/>
  <c r="EC13" i="1"/>
  <c r="BT13" i="1"/>
  <c r="EB14" i="1"/>
  <c r="CF17" i="1"/>
  <c r="EC5" i="1"/>
  <c r="DT8" i="1"/>
  <c r="BU11" i="1"/>
  <c r="EC12" i="1"/>
  <c r="EB12" i="1"/>
  <c r="BW13" i="1"/>
  <c r="CC13" i="1"/>
  <c r="CQ13" i="1" s="1"/>
  <c r="EU30" i="1"/>
  <c r="CC15" i="1"/>
  <c r="CQ15" i="1" s="1"/>
  <c r="BU15" i="1"/>
  <c r="CF15" i="1"/>
  <c r="CF24" i="1"/>
  <c r="CI24" i="1"/>
  <c r="CJ24" i="1" s="1"/>
  <c r="DT10" i="1"/>
  <c r="DT11" i="1"/>
  <c r="DT12" i="1"/>
  <c r="DT13" i="1"/>
  <c r="DT14" i="1"/>
  <c r="BT15" i="1"/>
  <c r="DT15" i="1"/>
  <c r="EC15" i="1"/>
  <c r="BT16" i="1"/>
  <c r="DT16" i="1"/>
  <c r="EC16" i="1"/>
  <c r="ED16" i="1" s="1"/>
  <c r="EC17" i="1"/>
  <c r="CC19" i="1"/>
  <c r="CQ19" i="1" s="1"/>
  <c r="BU19" i="1"/>
  <c r="EY30" i="1"/>
  <c r="CF19" i="1"/>
  <c r="FA30" i="1"/>
  <c r="CC21" i="1"/>
  <c r="CQ21" i="1" s="1"/>
  <c r="BU21" i="1"/>
  <c r="CF21" i="1"/>
  <c r="FC30" i="1"/>
  <c r="EB24" i="1"/>
  <c r="CC23" i="1"/>
  <c r="CQ23" i="1" s="1"/>
  <c r="BU23" i="1"/>
  <c r="CF23" i="1"/>
  <c r="FD30" i="1"/>
  <c r="EB25" i="1"/>
  <c r="CC24" i="1"/>
  <c r="CQ24" i="1" s="1"/>
  <c r="BU24" i="1"/>
  <c r="BW24" i="1"/>
  <c r="EX30" i="1"/>
  <c r="CC18" i="1"/>
  <c r="CQ18" i="1" s="1"/>
  <c r="EB19" i="1"/>
  <c r="FE30" i="1"/>
  <c r="EB26" i="1"/>
  <c r="BW25" i="1"/>
  <c r="CC25" i="1"/>
  <c r="CQ25" i="1" s="1"/>
  <c r="BU25" i="1"/>
  <c r="EI46" i="1"/>
  <c r="BO17" i="1"/>
  <c r="EW30" i="1"/>
  <c r="BW17" i="1"/>
  <c r="CC17" i="1"/>
  <c r="CQ17" i="1" s="1"/>
  <c r="BU18" i="1"/>
  <c r="CF18" i="1"/>
  <c r="EZ30" i="1"/>
  <c r="CC20" i="1"/>
  <c r="CQ20" i="1" s="1"/>
  <c r="BU20" i="1"/>
  <c r="CF20" i="1"/>
  <c r="FB30" i="1"/>
  <c r="CC22" i="1"/>
  <c r="CQ22" i="1" s="1"/>
  <c r="BU22" i="1"/>
  <c r="CF22" i="1"/>
  <c r="EC26" i="1"/>
  <c r="BT26" i="1"/>
  <c r="BS27" i="1"/>
  <c r="DT18" i="1"/>
  <c r="BT19" i="1"/>
  <c r="DT19" i="1"/>
  <c r="EC19" i="1"/>
  <c r="BT20" i="1"/>
  <c r="DT20" i="1"/>
  <c r="EC20" i="1"/>
  <c r="ED20" i="1" s="1"/>
  <c r="BT21" i="1"/>
  <c r="DT21" i="1"/>
  <c r="EC21" i="1"/>
  <c r="ED21" i="1" s="1"/>
  <c r="BT22" i="1"/>
  <c r="DT22" i="1"/>
  <c r="EC22" i="1"/>
  <c r="ED22" i="1" s="1"/>
  <c r="BT23" i="1"/>
  <c r="DT23" i="1"/>
  <c r="EC23" i="1"/>
  <c r="ED23" i="1" s="1"/>
  <c r="BO24" i="1"/>
  <c r="DT24" i="1"/>
  <c r="CI27" i="1"/>
  <c r="CJ27" i="1" s="1"/>
  <c r="CF27" i="1"/>
  <c r="DT28" i="1"/>
  <c r="CF25" i="1"/>
  <c r="CI25" i="1"/>
  <c r="CJ25" i="1" s="1"/>
  <c r="BT25" i="1"/>
  <c r="CF26" i="1"/>
  <c r="EI56" i="1"/>
  <c r="BO27" i="1"/>
  <c r="EC27" i="1"/>
  <c r="DT27" i="1"/>
  <c r="BP62" i="1"/>
  <c r="BP65" i="1" s="1"/>
  <c r="BP66" i="1" s="1"/>
  <c r="BP67" i="1" s="1"/>
  <c r="CN28" i="1"/>
  <c r="CO28" i="1" s="1"/>
  <c r="CN27" i="1"/>
  <c r="CO27" i="1" s="1"/>
  <c r="CN26" i="1"/>
  <c r="CO26" i="1" s="1"/>
  <c r="BO25" i="1"/>
  <c r="DT25" i="1"/>
  <c r="EI55" i="1"/>
  <c r="BO26" i="1"/>
  <c r="FF30" i="1"/>
  <c r="EB27" i="1"/>
  <c r="BW26" i="1"/>
  <c r="CC26" i="1"/>
  <c r="CQ26" i="1" s="1"/>
  <c r="AH63" i="1"/>
  <c r="CK4" i="1" l="1"/>
  <c r="CK5" i="1"/>
  <c r="CK25" i="1"/>
  <c r="CK24" i="1"/>
  <c r="CK27" i="1"/>
  <c r="AH76" i="10"/>
  <c r="AG77" i="10"/>
  <c r="EP34" i="10"/>
  <c r="EX33" i="10"/>
  <c r="F23" i="10"/>
  <c r="CC6" i="10"/>
  <c r="DV6" i="10"/>
  <c r="DW6" i="10" s="1"/>
  <c r="DG6" i="10"/>
  <c r="DH6" i="10" s="1"/>
  <c r="DA6" i="10"/>
  <c r="DB6" i="10" s="1"/>
  <c r="DD6" i="10" s="1"/>
  <c r="BB6" i="10"/>
  <c r="CY7" i="1"/>
  <c r="BY30" i="1"/>
  <c r="BY31" i="1" s="1"/>
  <c r="CY16" i="1"/>
  <c r="CY18" i="1"/>
  <c r="CY9" i="1"/>
  <c r="CY5" i="1"/>
  <c r="CY21" i="1"/>
  <c r="CY26" i="1"/>
  <c r="CY20" i="1"/>
  <c r="CY6" i="1"/>
  <c r="CY25" i="1"/>
  <c r="BY32" i="1"/>
  <c r="BY33" i="1" s="1"/>
  <c r="CY17" i="1"/>
  <c r="CY15" i="1"/>
  <c r="CY13" i="1"/>
  <c r="BP53" i="1"/>
  <c r="BP56" i="1" s="1"/>
  <c r="BP57" i="1" s="1"/>
  <c r="BW68" i="1" s="1"/>
  <c r="CY19" i="1"/>
  <c r="CY4" i="1"/>
  <c r="CY8" i="1"/>
  <c r="CY24" i="1"/>
  <c r="CY28" i="1"/>
  <c r="CC8" i="1"/>
  <c r="CQ8" i="1" s="1"/>
  <c r="CY27" i="1"/>
  <c r="CY22" i="1"/>
  <c r="CY23" i="1"/>
  <c r="CY10" i="1"/>
  <c r="CY12" i="1"/>
  <c r="CY11" i="1"/>
  <c r="BT8" i="1"/>
  <c r="DB8" i="1" s="1"/>
  <c r="BT5" i="1"/>
  <c r="DB5" i="1" s="1"/>
  <c r="BW8" i="1"/>
  <c r="EB9" i="1"/>
  <c r="ED9" i="1" s="1"/>
  <c r="EE9" i="1" s="1"/>
  <c r="BU5" i="1"/>
  <c r="ED18" i="1"/>
  <c r="EE18" i="1" s="1"/>
  <c r="ED6" i="1"/>
  <c r="EE6" i="1" s="1"/>
  <c r="BU8" i="1"/>
  <c r="ED7" i="1"/>
  <c r="EE7" i="1" s="1"/>
  <c r="DB17" i="1"/>
  <c r="BW5" i="1"/>
  <c r="CC5" i="1"/>
  <c r="CQ5" i="1" s="1"/>
  <c r="DB7" i="1"/>
  <c r="EK30" i="1"/>
  <c r="ED27" i="1"/>
  <c r="EE27" i="1" s="1"/>
  <c r="CW7" i="1"/>
  <c r="BY7" i="1"/>
  <c r="BZ7" i="1" s="1"/>
  <c r="CA7" i="1" s="1"/>
  <c r="CG7" i="1" s="1"/>
  <c r="CP7" i="1" s="1"/>
  <c r="ED26" i="1"/>
  <c r="EE26" i="1" s="1"/>
  <c r="ED25" i="1"/>
  <c r="EE25" i="1" s="1"/>
  <c r="ED14" i="1"/>
  <c r="EE14" i="1" s="1"/>
  <c r="EE16" i="1"/>
  <c r="EE22" i="1"/>
  <c r="EE23" i="1"/>
  <c r="EE20" i="1"/>
  <c r="DB21" i="1"/>
  <c r="BX21" i="1"/>
  <c r="CV22" i="1"/>
  <c r="CV18" i="1"/>
  <c r="CV23" i="1"/>
  <c r="ED24" i="1"/>
  <c r="ED12" i="1"/>
  <c r="DB11" i="1"/>
  <c r="BX11" i="1"/>
  <c r="CV16" i="1"/>
  <c r="ED17" i="1"/>
  <c r="ER30" i="1"/>
  <c r="EB13" i="1"/>
  <c r="ED13" i="1" s="1"/>
  <c r="BU12" i="1"/>
  <c r="BW12" i="1"/>
  <c r="CC12" i="1"/>
  <c r="CQ12" i="1" s="1"/>
  <c r="DB10" i="1"/>
  <c r="BX10" i="1"/>
  <c r="CV5" i="1"/>
  <c r="ED5" i="1"/>
  <c r="CV13" i="1"/>
  <c r="CV11" i="1"/>
  <c r="ED8" i="1"/>
  <c r="CV9" i="1"/>
  <c r="ED11" i="1"/>
  <c r="DB22" i="1"/>
  <c r="BX22" i="1"/>
  <c r="CV19" i="1"/>
  <c r="CV24" i="1"/>
  <c r="CV15" i="1"/>
  <c r="CV17" i="1"/>
  <c r="EE21" i="1"/>
  <c r="DB13" i="1"/>
  <c r="BX13" i="1"/>
  <c r="DB18" i="1"/>
  <c r="BX18" i="1"/>
  <c r="CV10" i="1"/>
  <c r="CV6" i="1"/>
  <c r="DB9" i="1"/>
  <c r="BX9" i="1"/>
  <c r="DB25" i="1"/>
  <c r="BX25" i="1"/>
  <c r="CV25" i="1"/>
  <c r="BW27" i="1"/>
  <c r="FG30" i="1"/>
  <c r="EB28" i="1"/>
  <c r="BU27" i="1"/>
  <c r="BT27" i="1"/>
  <c r="CC27" i="1"/>
  <c r="CQ27" i="1" s="1"/>
  <c r="AG65" i="1"/>
  <c r="AH64" i="1"/>
  <c r="DB23" i="1"/>
  <c r="BX23" i="1"/>
  <c r="DB19" i="1"/>
  <c r="BX19" i="1"/>
  <c r="BX26" i="1"/>
  <c r="DB26" i="1"/>
  <c r="CV20" i="1"/>
  <c r="DB15" i="1"/>
  <c r="BX15" i="1"/>
  <c r="DB12" i="1"/>
  <c r="BX12" i="1"/>
  <c r="CV14" i="1"/>
  <c r="ED15" i="1"/>
  <c r="CV4" i="1"/>
  <c r="CV26" i="1"/>
  <c r="CV27" i="1"/>
  <c r="DB20" i="1"/>
  <c r="BX20" i="1"/>
  <c r="ED19" i="1"/>
  <c r="CV21" i="1"/>
  <c r="DB16" i="1"/>
  <c r="BX16" i="1"/>
  <c r="CW17" i="1"/>
  <c r="CL17" i="1"/>
  <c r="BY17" i="1"/>
  <c r="BZ17" i="1" s="1"/>
  <c r="BX24" i="1"/>
  <c r="DB24" i="1"/>
  <c r="DB14" i="1"/>
  <c r="BX14" i="1"/>
  <c r="DB6" i="1"/>
  <c r="BX6" i="1"/>
  <c r="ED10" i="1"/>
  <c r="DB4" i="1"/>
  <c r="BX4" i="1"/>
  <c r="DE6" i="10" l="1"/>
  <c r="EJ6" i="10" s="1"/>
  <c r="EM35" i="10" s="1"/>
  <c r="DX6" i="10"/>
  <c r="BE6" i="10" s="1"/>
  <c r="EG6" i="10"/>
  <c r="EH6" i="10" s="1"/>
  <c r="DN6" i="10" s="1"/>
  <c r="E22" i="10"/>
  <c r="EY33" i="10"/>
  <c r="EQ34" i="10"/>
  <c r="CI6" i="10"/>
  <c r="CS6" i="10" s="1"/>
  <c r="CT6" i="10" s="1"/>
  <c r="AH77" i="10"/>
  <c r="AG78" i="10"/>
  <c r="BX8" i="1"/>
  <c r="CW8" i="1" s="1"/>
  <c r="BW54" i="1"/>
  <c r="BW60" i="1"/>
  <c r="BW55" i="1"/>
  <c r="BW63" i="1"/>
  <c r="BW64" i="1"/>
  <c r="BW53" i="1"/>
  <c r="BP58" i="1"/>
  <c r="BW62" i="1"/>
  <c r="BW59" i="1"/>
  <c r="BW57" i="1"/>
  <c r="BW61" i="1"/>
  <c r="BW56" i="1"/>
  <c r="BW67" i="1"/>
  <c r="BW65" i="1"/>
  <c r="BW58" i="1"/>
  <c r="BW66" i="1"/>
  <c r="BP59" i="1"/>
  <c r="BX5" i="1"/>
  <c r="CW5" i="1" s="1"/>
  <c r="CL6" i="1"/>
  <c r="BY6" i="1"/>
  <c r="BZ6" i="1" s="1"/>
  <c r="CA6" i="1" s="1"/>
  <c r="CG6" i="1" s="1"/>
  <c r="CW6" i="1"/>
  <c r="EE19" i="1"/>
  <c r="EE15" i="1"/>
  <c r="CW12" i="1"/>
  <c r="CL12" i="1"/>
  <c r="BY12" i="1"/>
  <c r="BZ12" i="1" s="1"/>
  <c r="BX27" i="1"/>
  <c r="DB27" i="1"/>
  <c r="CW25" i="1"/>
  <c r="BY25" i="1"/>
  <c r="BZ25" i="1" s="1"/>
  <c r="CL25" i="1"/>
  <c r="CL18" i="1"/>
  <c r="BY18" i="1"/>
  <c r="BZ18" i="1" s="1"/>
  <c r="CW18" i="1"/>
  <c r="EE17" i="1"/>
  <c r="CW11" i="1"/>
  <c r="CL11" i="1"/>
  <c r="BY11" i="1"/>
  <c r="BZ11" i="1" s="1"/>
  <c r="EE12" i="1"/>
  <c r="BY24" i="1"/>
  <c r="BZ24" i="1" s="1"/>
  <c r="CW24" i="1"/>
  <c r="CL24" i="1"/>
  <c r="CL23" i="1"/>
  <c r="BY23" i="1"/>
  <c r="BZ23" i="1" s="1"/>
  <c r="CW23" i="1"/>
  <c r="EE5" i="1"/>
  <c r="CW10" i="1"/>
  <c r="BY10" i="1"/>
  <c r="BZ10" i="1" s="1"/>
  <c r="CL10" i="1"/>
  <c r="EE24" i="1"/>
  <c r="CL21" i="1"/>
  <c r="BY21" i="1"/>
  <c r="BZ21" i="1" s="1"/>
  <c r="CW21" i="1"/>
  <c r="EE10" i="1"/>
  <c r="CL14" i="1"/>
  <c r="CW14" i="1"/>
  <c r="BY14" i="1"/>
  <c r="BZ14" i="1" s="1"/>
  <c r="CL15" i="1"/>
  <c r="BY15" i="1"/>
  <c r="BZ15" i="1" s="1"/>
  <c r="CW15" i="1"/>
  <c r="CL26" i="1"/>
  <c r="CW26" i="1"/>
  <c r="BY26" i="1"/>
  <c r="BZ26" i="1" s="1"/>
  <c r="AG66" i="1"/>
  <c r="AH65" i="1"/>
  <c r="BY9" i="1"/>
  <c r="BZ9" i="1" s="1"/>
  <c r="CW9" i="1"/>
  <c r="CL9" i="1"/>
  <c r="CW13" i="1"/>
  <c r="BY13" i="1"/>
  <c r="BZ13" i="1" s="1"/>
  <c r="CL13" i="1"/>
  <c r="CL22" i="1"/>
  <c r="BY22" i="1"/>
  <c r="BZ22" i="1" s="1"/>
  <c r="CW22" i="1"/>
  <c r="EE11" i="1"/>
  <c r="EE8" i="1"/>
  <c r="EE13" i="1"/>
  <c r="CA17" i="1"/>
  <c r="CG17" i="1" s="1"/>
  <c r="CP17" i="1" s="1"/>
  <c r="BY4" i="1"/>
  <c r="BZ4" i="1" s="1"/>
  <c r="CW4" i="1"/>
  <c r="CL4" i="1"/>
  <c r="CL16" i="1"/>
  <c r="BY16" i="1"/>
  <c r="BZ16" i="1" s="1"/>
  <c r="CW16" i="1"/>
  <c r="CL20" i="1"/>
  <c r="BY20" i="1"/>
  <c r="BZ20" i="1" s="1"/>
  <c r="CW20" i="1"/>
  <c r="CL19" i="1"/>
  <c r="BY19" i="1"/>
  <c r="BZ19" i="1" s="1"/>
  <c r="CW19" i="1"/>
  <c r="EM58" i="10" l="1"/>
  <c r="EM59" i="10" s="1"/>
  <c r="EL7" i="10" s="1"/>
  <c r="EN35" i="10"/>
  <c r="EO35" i="10" s="1"/>
  <c r="DJ6" i="10"/>
  <c r="DL6" i="10" s="1"/>
  <c r="DK6" i="10" s="1"/>
  <c r="EZ33" i="10"/>
  <c r="AG79" i="10"/>
  <c r="AH78" i="10"/>
  <c r="ER34" i="10"/>
  <c r="EQ57" i="10"/>
  <c r="EK10" i="10" s="1"/>
  <c r="DO6" i="10"/>
  <c r="BY8" i="1"/>
  <c r="BZ8" i="1" s="1"/>
  <c r="CA8" i="1" s="1"/>
  <c r="CG8" i="1" s="1"/>
  <c r="CP8" i="1" s="1"/>
  <c r="CL8" i="1"/>
  <c r="CL5" i="1"/>
  <c r="BY5" i="1"/>
  <c r="BZ5" i="1" s="1"/>
  <c r="BF5" i="1" s="1"/>
  <c r="D24" i="1" s="1"/>
  <c r="CA4" i="1"/>
  <c r="CG4" i="1" s="1"/>
  <c r="CP4" i="1" s="1"/>
  <c r="BF4" i="1"/>
  <c r="CA25" i="1"/>
  <c r="CG25" i="1" s="1"/>
  <c r="CP25" i="1" s="1"/>
  <c r="CA26" i="1"/>
  <c r="CG26" i="1" s="1"/>
  <c r="CP26" i="1" s="1"/>
  <c r="CP6" i="1"/>
  <c r="CA9" i="1"/>
  <c r="CG9" i="1" s="1"/>
  <c r="CP9" i="1" s="1"/>
  <c r="CA22" i="1"/>
  <c r="CG22" i="1" s="1"/>
  <c r="CP22" i="1" s="1"/>
  <c r="CA15" i="1"/>
  <c r="CG15" i="1" s="1"/>
  <c r="CP15" i="1" s="1"/>
  <c r="CA21" i="1"/>
  <c r="CG21" i="1" s="1"/>
  <c r="CP21" i="1" s="1"/>
  <c r="CA11" i="1"/>
  <c r="CG11" i="1" s="1"/>
  <c r="CP11" i="1" s="1"/>
  <c r="CA13" i="1"/>
  <c r="CG13" i="1" s="1"/>
  <c r="CP13" i="1" s="1"/>
  <c r="CA12" i="1"/>
  <c r="CG12" i="1" s="1"/>
  <c r="CP12" i="1" s="1"/>
  <c r="CA19" i="1"/>
  <c r="CG19" i="1" s="1"/>
  <c r="CP19" i="1" s="1"/>
  <c r="CA20" i="1"/>
  <c r="CG20" i="1" s="1"/>
  <c r="CP20" i="1" s="1"/>
  <c r="CA16" i="1"/>
  <c r="CG16" i="1" s="1"/>
  <c r="CP16" i="1" s="1"/>
  <c r="CA14" i="1"/>
  <c r="CG14" i="1" s="1"/>
  <c r="CP14" i="1" s="1"/>
  <c r="CA10" i="1"/>
  <c r="CG10" i="1" s="1"/>
  <c r="CP10" i="1" s="1"/>
  <c r="CA23" i="1"/>
  <c r="CG23" i="1" s="1"/>
  <c r="CP23" i="1" s="1"/>
  <c r="CA24" i="1"/>
  <c r="CG24" i="1" s="1"/>
  <c r="CP24" i="1" s="1"/>
  <c r="CA18" i="1"/>
  <c r="CG18" i="1" s="1"/>
  <c r="CP18" i="1" s="1"/>
  <c r="CL27" i="1"/>
  <c r="CW27" i="1"/>
  <c r="BY27" i="1"/>
  <c r="BZ27" i="1" s="1"/>
  <c r="AG67" i="1"/>
  <c r="AH66" i="1"/>
  <c r="CU6" i="10"/>
  <c r="FA33" i="10" l="1"/>
  <c r="BW6" i="10"/>
  <c r="BF6" i="10"/>
  <c r="DY8" i="10"/>
  <c r="AG80" i="10"/>
  <c r="AH79" i="10"/>
  <c r="DP6" i="10"/>
  <c r="ES34" i="10"/>
  <c r="EP35" i="10"/>
  <c r="CV6" i="10"/>
  <c r="CA5" i="1"/>
  <c r="CG5" i="1" s="1"/>
  <c r="CP5" i="1" s="1"/>
  <c r="CA27" i="1"/>
  <c r="CG27" i="1" s="1"/>
  <c r="CP27" i="1" s="1"/>
  <c r="AH67" i="1"/>
  <c r="AG68" i="1"/>
  <c r="ET34" i="10" l="1"/>
  <c r="AG81" i="10"/>
  <c r="AH80" i="10"/>
  <c r="EB8" i="10"/>
  <c r="FB33" i="10"/>
  <c r="EQ35" i="10"/>
  <c r="DR6" i="10"/>
  <c r="DS6" i="10" s="1"/>
  <c r="AH68" i="1"/>
  <c r="AG69" i="1"/>
  <c r="DF7" i="10" l="1"/>
  <c r="DT6" i="10"/>
  <c r="BC6" i="10" s="1"/>
  <c r="EU34" i="10"/>
  <c r="AG82" i="10"/>
  <c r="AH81" i="10"/>
  <c r="ER35" i="10"/>
  <c r="BD8" i="10"/>
  <c r="BG8" i="10"/>
  <c r="G24" i="10" s="1"/>
  <c r="FC33" i="10"/>
  <c r="AG70" i="1"/>
  <c r="AH69" i="1"/>
  <c r="G23" i="10" l="1"/>
  <c r="CC7" i="10"/>
  <c r="DV7" i="10"/>
  <c r="DW7" i="10" s="1"/>
  <c r="DG7" i="10"/>
  <c r="DH7" i="10" s="1"/>
  <c r="DA7" i="10"/>
  <c r="DB7" i="10" s="1"/>
  <c r="DD7" i="10" s="1"/>
  <c r="BB7" i="10"/>
  <c r="ES35" i="10"/>
  <c r="ER57" i="10"/>
  <c r="EK11" i="10" s="1"/>
  <c r="EV34" i="10"/>
  <c r="FD33" i="10"/>
  <c r="AG83" i="10"/>
  <c r="AH83" i="10" s="1"/>
  <c r="AH82" i="10"/>
  <c r="AG71" i="1"/>
  <c r="AH70" i="1"/>
  <c r="DE7" i="10" l="1"/>
  <c r="FE33" i="10"/>
  <c r="EW34" i="10"/>
  <c r="F22" i="10"/>
  <c r="DX7" i="10"/>
  <c r="BE7" i="10" s="1"/>
  <c r="EG7" i="10"/>
  <c r="EH7" i="10" s="1"/>
  <c r="DN7" i="10" s="1"/>
  <c r="CI7" i="10"/>
  <c r="CS7" i="10" s="1"/>
  <c r="CT7" i="10" s="1"/>
  <c r="ET35" i="10"/>
  <c r="AH71" i="1"/>
  <c r="AG72" i="1"/>
  <c r="EX34" i="10" l="1"/>
  <c r="FF33" i="10"/>
  <c r="EU35" i="10"/>
  <c r="DO7" i="10"/>
  <c r="EJ7" i="10"/>
  <c r="EN36" i="10" s="1"/>
  <c r="DJ7" i="10"/>
  <c r="AG73" i="1"/>
  <c r="AH72" i="1"/>
  <c r="CU7" i="10"/>
  <c r="CV7" i="10" l="1"/>
  <c r="FG33" i="10"/>
  <c r="EV35" i="10"/>
  <c r="DL7" i="10"/>
  <c r="DP7" i="10" s="1"/>
  <c r="EY34" i="10"/>
  <c r="EO36" i="10"/>
  <c r="EN58" i="10"/>
  <c r="EN59" i="10" s="1"/>
  <c r="EL8" i="10" s="1"/>
  <c r="BW7" i="10"/>
  <c r="BF7" i="10"/>
  <c r="DY9" i="10"/>
  <c r="AG74" i="1"/>
  <c r="AH73" i="1"/>
  <c r="DR7" i="10" l="1"/>
  <c r="DS7" i="10" s="1"/>
  <c r="EW35" i="10"/>
  <c r="DK7" i="10"/>
  <c r="EP36" i="10"/>
  <c r="FH33" i="10"/>
  <c r="EB9" i="10"/>
  <c r="EZ34" i="10"/>
  <c r="AH74" i="1"/>
  <c r="AG75" i="1"/>
  <c r="DF8" i="10" l="1"/>
  <c r="DT7" i="10"/>
  <c r="BC7" i="10" s="1"/>
  <c r="EX35" i="10"/>
  <c r="EQ36" i="10"/>
  <c r="FA34" i="10"/>
  <c r="BD9" i="10"/>
  <c r="H23" i="10" s="1"/>
  <c r="BG9" i="10"/>
  <c r="H24" i="10" s="1"/>
  <c r="AG76" i="1"/>
  <c r="AH75" i="1"/>
  <c r="ER36" i="10" l="1"/>
  <c r="EY35" i="10"/>
  <c r="FB34" i="10"/>
  <c r="CC8" i="10"/>
  <c r="DV8" i="10"/>
  <c r="DW8" i="10" s="1"/>
  <c r="DG8" i="10"/>
  <c r="DH8" i="10" s="1"/>
  <c r="DA8" i="10"/>
  <c r="DB8" i="10" s="1"/>
  <c r="DD8" i="10" s="1"/>
  <c r="BB8" i="10"/>
  <c r="G22" i="10" s="1"/>
  <c r="AH76" i="1"/>
  <c r="AG77" i="1"/>
  <c r="DE8" i="10" l="1"/>
  <c r="EJ8" i="10" s="1"/>
  <c r="EO37" i="10" s="1"/>
  <c r="DX8" i="10"/>
  <c r="BE8" i="10" s="1"/>
  <c r="EG8" i="10"/>
  <c r="EH8" i="10" s="1"/>
  <c r="DN8" i="10" s="1"/>
  <c r="EZ35" i="10"/>
  <c r="FC34" i="10"/>
  <c r="CI8" i="10"/>
  <c r="CS8" i="10" s="1"/>
  <c r="CT8" i="10" s="1"/>
  <c r="ES36" i="10"/>
  <c r="AH77" i="1"/>
  <c r="AG78" i="1"/>
  <c r="DJ8" i="10" l="1"/>
  <c r="DL8" i="10" s="1"/>
  <c r="EP37" i="10"/>
  <c r="EQ37" i="10" s="1"/>
  <c r="EO58" i="10"/>
  <c r="EO59" i="10" s="1"/>
  <c r="EL9" i="10" s="1"/>
  <c r="DO8" i="10"/>
  <c r="ET36" i="10"/>
  <c r="ES57" i="10"/>
  <c r="EK12" i="10" s="1"/>
  <c r="FD34" i="10"/>
  <c r="FA35" i="10"/>
  <c r="AG79" i="1"/>
  <c r="AH78" i="1"/>
  <c r="CU8" i="10"/>
  <c r="CV8" i="10" l="1"/>
  <c r="DP8" i="10"/>
  <c r="DR8" i="10" s="1"/>
  <c r="DS8" i="10" s="1"/>
  <c r="DK8" i="10"/>
  <c r="ER37" i="10"/>
  <c r="FE34" i="10"/>
  <c r="FB35" i="10"/>
  <c r="EU36" i="10"/>
  <c r="BW8" i="10"/>
  <c r="BF8" i="10"/>
  <c r="DY10" i="10"/>
  <c r="AG80" i="1"/>
  <c r="AH79" i="1"/>
  <c r="DF9" i="10" l="1"/>
  <c r="DT8" i="10"/>
  <c r="BC8" i="10" s="1"/>
  <c r="EV36" i="10"/>
  <c r="FF34" i="10"/>
  <c r="FC35" i="10"/>
  <c r="EB10" i="10"/>
  <c r="ES37" i="10"/>
  <c r="AG81" i="1"/>
  <c r="AH80" i="1"/>
  <c r="EW36" i="10" l="1"/>
  <c r="ET37" i="10"/>
  <c r="FG34" i="10"/>
  <c r="BG10" i="10"/>
  <c r="I24" i="10" s="1"/>
  <c r="BD10" i="10"/>
  <c r="I23" i="10" s="1"/>
  <c r="FD35" i="10"/>
  <c r="CC9" i="10"/>
  <c r="DV9" i="10"/>
  <c r="DW9" i="10" s="1"/>
  <c r="DA9" i="10"/>
  <c r="DB9" i="10" s="1"/>
  <c r="DD9" i="10" s="1"/>
  <c r="DG9" i="10"/>
  <c r="DH9" i="10" s="1"/>
  <c r="BB9" i="10"/>
  <c r="H22" i="10" s="1"/>
  <c r="AG82" i="1"/>
  <c r="AH81" i="1"/>
  <c r="DE9" i="10" l="1"/>
  <c r="EU37" i="10"/>
  <c r="ET57" i="10"/>
  <c r="EK13" i="10" s="1"/>
  <c r="FE35" i="10"/>
  <c r="DX9" i="10"/>
  <c r="BE9" i="10" s="1"/>
  <c r="EG9" i="10"/>
  <c r="EH9" i="10" s="1"/>
  <c r="DN9" i="10" s="1"/>
  <c r="CI9" i="10"/>
  <c r="FH34" i="10"/>
  <c r="EX36" i="10"/>
  <c r="AG83" i="1"/>
  <c r="AH83" i="1" s="1"/>
  <c r="AH82" i="1"/>
  <c r="CS9" i="10" l="1"/>
  <c r="CT9" i="10" s="1"/>
  <c r="CJ9" i="10"/>
  <c r="CK9" i="10" s="1"/>
  <c r="CL9" i="10" s="1"/>
  <c r="DO9" i="10"/>
  <c r="FF35" i="10"/>
  <c r="EY36" i="10"/>
  <c r="EJ9" i="10"/>
  <c r="EP38" i="10" s="1"/>
  <c r="DJ9" i="10"/>
  <c r="EV37" i="10"/>
  <c r="L32" i="2"/>
  <c r="L33" i="2"/>
  <c r="L34" i="2"/>
  <c r="L35" i="2"/>
  <c r="L36" i="2"/>
  <c r="L37" i="2"/>
  <c r="L38" i="2"/>
  <c r="L39" i="2"/>
  <c r="L40" i="2"/>
  <c r="L41" i="2"/>
  <c r="L42" i="2"/>
  <c r="L43" i="2"/>
  <c r="L44" i="2"/>
  <c r="L45" i="2"/>
  <c r="L46" i="2"/>
  <c r="L47" i="2"/>
  <c r="L48" i="2"/>
  <c r="L49" i="2"/>
  <c r="L50" i="2"/>
  <c r="L51" i="2"/>
  <c r="L52" i="2"/>
  <c r="L53" i="2"/>
  <c r="L54" i="2"/>
  <c r="L55" i="2"/>
  <c r="CU9" i="10"/>
  <c r="CV9" i="10" l="1"/>
  <c r="EZ36" i="10"/>
  <c r="EW37" i="10"/>
  <c r="DL9" i="10"/>
  <c r="DP9" i="10" s="1"/>
  <c r="EQ38" i="10"/>
  <c r="ER38" i="10" s="1"/>
  <c r="ES38" i="10" s="1"/>
  <c r="ET38" i="10" s="1"/>
  <c r="EU38" i="10" s="1"/>
  <c r="EP58" i="10"/>
  <c r="EP59" i="10" s="1"/>
  <c r="EL10" i="10" s="1"/>
  <c r="FG35" i="10"/>
  <c r="BW9" i="10"/>
  <c r="BF9" i="10"/>
  <c r="DY11" i="10"/>
  <c r="H139" i="2"/>
  <c r="L139" i="2" s="1"/>
  <c r="J139" i="2"/>
  <c r="K139" i="2"/>
  <c r="F139" i="2"/>
  <c r="M139" i="2" s="1"/>
  <c r="DR9" i="10" l="1"/>
  <c r="DS9" i="10" s="1"/>
  <c r="EX37" i="10"/>
  <c r="EB11" i="10"/>
  <c r="FH35" i="10"/>
  <c r="DK9" i="10"/>
  <c r="EV38" i="10"/>
  <c r="EW38" i="10" s="1"/>
  <c r="EX38" i="10" s="1"/>
  <c r="EY38" i="10" s="1"/>
  <c r="EZ38" i="10" s="1"/>
  <c r="FA38" i="10" s="1"/>
  <c r="FB38" i="10" s="1"/>
  <c r="FC38" i="10" s="1"/>
  <c r="FD38" i="10" s="1"/>
  <c r="FE38" i="10" s="1"/>
  <c r="FF38" i="10" s="1"/>
  <c r="FG38" i="10" s="1"/>
  <c r="FH38" i="10" s="1"/>
  <c r="EU57" i="10"/>
  <c r="EK14" i="10" s="1"/>
  <c r="FA36" i="10"/>
  <c r="DL7" i="1"/>
  <c r="DF10" i="10" l="1"/>
  <c r="DT9" i="10"/>
  <c r="BC9" i="10" s="1"/>
  <c r="EY37" i="10"/>
  <c r="FB36" i="10"/>
  <c r="BD11" i="10"/>
  <c r="J23" i="10" s="1"/>
  <c r="BG11" i="10"/>
  <c r="J24" i="10" s="1"/>
  <c r="DL26" i="1"/>
  <c r="DL10" i="1"/>
  <c r="DL6" i="1"/>
  <c r="DL5" i="1"/>
  <c r="BC5" i="1" s="1"/>
  <c r="D23" i="1" s="1"/>
  <c r="DL25" i="1"/>
  <c r="DL9" i="1"/>
  <c r="DL4" i="1"/>
  <c r="DL12" i="1"/>
  <c r="DL8" i="1"/>
  <c r="DL13" i="1"/>
  <c r="DL27" i="1"/>
  <c r="DL11" i="1"/>
  <c r="FC36" i="10" l="1"/>
  <c r="EZ37" i="10"/>
  <c r="CC10" i="10"/>
  <c r="DV10" i="10"/>
  <c r="DW10" i="10" s="1"/>
  <c r="DA10" i="10"/>
  <c r="DB10" i="10" s="1"/>
  <c r="DD10" i="10" s="1"/>
  <c r="DG10" i="10"/>
  <c r="DH10" i="10" s="1"/>
  <c r="BB10" i="10"/>
  <c r="I22" i="10" s="1"/>
  <c r="BC4" i="1"/>
  <c r="DL29" i="1"/>
  <c r="N279" i="2"/>
  <c r="J279" i="2"/>
  <c r="I279" i="2"/>
  <c r="G279" i="2"/>
  <c r="N251" i="2"/>
  <c r="J251" i="2"/>
  <c r="I251" i="2"/>
  <c r="G251" i="2"/>
  <c r="N223" i="2"/>
  <c r="J223" i="2"/>
  <c r="I223" i="2"/>
  <c r="G223" i="2"/>
  <c r="N195" i="2"/>
  <c r="J195" i="2"/>
  <c r="I195" i="2"/>
  <c r="N167" i="2"/>
  <c r="J167" i="2"/>
  <c r="I167" i="2"/>
  <c r="G167" i="2"/>
  <c r="J111" i="2"/>
  <c r="I111" i="2"/>
  <c r="F111" i="2"/>
  <c r="J83" i="2"/>
  <c r="I83" i="2"/>
  <c r="BP28" i="1"/>
  <c r="BQ28" i="1" s="1"/>
  <c r="D54" i="11" s="1"/>
  <c r="F83" i="2"/>
  <c r="I55" i="2"/>
  <c r="J55" i="2"/>
  <c r="CE28" i="10" s="1"/>
  <c r="CF28" i="10" s="1"/>
  <c r="F55" i="2"/>
  <c r="BS28" i="10" s="1"/>
  <c r="CJ28" i="10" l="1"/>
  <c r="CK28" i="10" s="1"/>
  <c r="CG28" i="10"/>
  <c r="CW28" i="10" s="1"/>
  <c r="BT28" i="10"/>
  <c r="CA28" i="10"/>
  <c r="EG10" i="10"/>
  <c r="EH10" i="10" s="1"/>
  <c r="DN10" i="10" s="1"/>
  <c r="DO10" i="10" s="1"/>
  <c r="DX10" i="10"/>
  <c r="BE10" i="10" s="1"/>
  <c r="FA37" i="10"/>
  <c r="CI10" i="10"/>
  <c r="CJ10" i="10" s="1"/>
  <c r="CK10" i="10" s="1"/>
  <c r="FD36" i="10"/>
  <c r="CD28" i="1"/>
  <c r="CE28" i="1" s="1"/>
  <c r="CF28" i="1" s="1"/>
  <c r="CV28" i="1" s="1"/>
  <c r="BR28" i="1"/>
  <c r="BS28" i="1" s="1"/>
  <c r="BW28" i="1" s="1"/>
  <c r="D54" i="7"/>
  <c r="EC28" i="1"/>
  <c r="ED28" i="1" s="1"/>
  <c r="EE28" i="1" s="1"/>
  <c r="M88" i="2"/>
  <c r="M89" i="2"/>
  <c r="M90" i="2"/>
  <c r="M91" i="2"/>
  <c r="M92" i="2"/>
  <c r="M93" i="2"/>
  <c r="M94" i="2"/>
  <c r="M95" i="2"/>
  <c r="M96" i="2"/>
  <c r="M97" i="2"/>
  <c r="M98" i="2"/>
  <c r="M99" i="2"/>
  <c r="M100" i="2"/>
  <c r="M101" i="2"/>
  <c r="M102" i="2"/>
  <c r="M103" i="2"/>
  <c r="M104" i="2"/>
  <c r="M105" i="2"/>
  <c r="M106" i="2"/>
  <c r="M107" i="2"/>
  <c r="M108" i="2"/>
  <c r="M109" i="2"/>
  <c r="M110" i="2"/>
  <c r="M116" i="2"/>
  <c r="M117" i="2"/>
  <c r="M118" i="2"/>
  <c r="M119" i="2"/>
  <c r="M120" i="2"/>
  <c r="M121" i="2"/>
  <c r="M122" i="2"/>
  <c r="M123" i="2"/>
  <c r="M124" i="2"/>
  <c r="M125" i="2"/>
  <c r="M126" i="2"/>
  <c r="M127" i="2"/>
  <c r="M128" i="2"/>
  <c r="M129" i="2"/>
  <c r="M130" i="2"/>
  <c r="M131" i="2"/>
  <c r="M132" i="2"/>
  <c r="M133" i="2"/>
  <c r="M134" i="2"/>
  <c r="M135" i="2"/>
  <c r="M136" i="2"/>
  <c r="M137" i="2"/>
  <c r="M138" i="2"/>
  <c r="M144" i="2"/>
  <c r="M145" i="2"/>
  <c r="M146" i="2"/>
  <c r="M147" i="2"/>
  <c r="M148" i="2"/>
  <c r="M149" i="2"/>
  <c r="M150" i="2"/>
  <c r="M151" i="2"/>
  <c r="M152" i="2"/>
  <c r="M153" i="2"/>
  <c r="M154" i="2"/>
  <c r="M155" i="2"/>
  <c r="M156" i="2"/>
  <c r="M157" i="2"/>
  <c r="M158" i="2"/>
  <c r="M159" i="2"/>
  <c r="M160" i="2"/>
  <c r="M161" i="2"/>
  <c r="M162" i="2"/>
  <c r="M163" i="2"/>
  <c r="M164" i="2"/>
  <c r="M165" i="2"/>
  <c r="M166" i="2"/>
  <c r="M172" i="2"/>
  <c r="G172" i="2" s="1"/>
  <c r="M173" i="2"/>
  <c r="G173" i="2" s="1"/>
  <c r="M174" i="2"/>
  <c r="G174" i="2" s="1"/>
  <c r="M175" i="2"/>
  <c r="G175" i="2" s="1"/>
  <c r="M176" i="2"/>
  <c r="G176" i="2" s="1"/>
  <c r="M177" i="2"/>
  <c r="G177" i="2" s="1"/>
  <c r="M178" i="2"/>
  <c r="G178" i="2" s="1"/>
  <c r="M179" i="2"/>
  <c r="G179" i="2" s="1"/>
  <c r="M180" i="2"/>
  <c r="G180" i="2" s="1"/>
  <c r="M181" i="2"/>
  <c r="G181" i="2" s="1"/>
  <c r="M182" i="2"/>
  <c r="G182" i="2" s="1"/>
  <c r="M183" i="2"/>
  <c r="G183" i="2" s="1"/>
  <c r="M184" i="2"/>
  <c r="G184" i="2" s="1"/>
  <c r="M185" i="2"/>
  <c r="G185" i="2" s="1"/>
  <c r="M186" i="2"/>
  <c r="G186" i="2" s="1"/>
  <c r="M187" i="2"/>
  <c r="G187" i="2" s="1"/>
  <c r="M188" i="2"/>
  <c r="G188" i="2" s="1"/>
  <c r="M189" i="2"/>
  <c r="G189" i="2" s="1"/>
  <c r="M190" i="2"/>
  <c r="G190" i="2" s="1"/>
  <c r="M191" i="2"/>
  <c r="G191" i="2" s="1"/>
  <c r="M192" i="2"/>
  <c r="G192" i="2" s="1"/>
  <c r="M193" i="2"/>
  <c r="G193" i="2" s="1"/>
  <c r="M194" i="2"/>
  <c r="G194" i="2" s="1"/>
  <c r="M200" i="2"/>
  <c r="M201" i="2"/>
  <c r="M202" i="2"/>
  <c r="M203" i="2"/>
  <c r="M204" i="2"/>
  <c r="M205" i="2"/>
  <c r="M206" i="2"/>
  <c r="M207" i="2"/>
  <c r="M208" i="2"/>
  <c r="M209" i="2"/>
  <c r="M210" i="2"/>
  <c r="M211" i="2"/>
  <c r="M212" i="2"/>
  <c r="M213" i="2"/>
  <c r="M214" i="2"/>
  <c r="M215" i="2"/>
  <c r="M216" i="2"/>
  <c r="M217" i="2"/>
  <c r="M218" i="2"/>
  <c r="M219" i="2"/>
  <c r="M220" i="2"/>
  <c r="M221" i="2"/>
  <c r="M222" i="2"/>
  <c r="M228" i="2"/>
  <c r="M229" i="2"/>
  <c r="M230" i="2"/>
  <c r="M231" i="2"/>
  <c r="M232" i="2"/>
  <c r="M233" i="2"/>
  <c r="M234" i="2"/>
  <c r="M235" i="2"/>
  <c r="M236" i="2"/>
  <c r="M237" i="2"/>
  <c r="M238" i="2"/>
  <c r="M239" i="2"/>
  <c r="M240" i="2"/>
  <c r="M241" i="2"/>
  <c r="M242" i="2"/>
  <c r="M243" i="2"/>
  <c r="M244" i="2"/>
  <c r="M245" i="2"/>
  <c r="M246" i="2"/>
  <c r="M247" i="2"/>
  <c r="M248" i="2"/>
  <c r="M249" i="2"/>
  <c r="M250" i="2"/>
  <c r="M256" i="2"/>
  <c r="M257" i="2"/>
  <c r="M258" i="2"/>
  <c r="M259" i="2"/>
  <c r="M260" i="2"/>
  <c r="M261" i="2"/>
  <c r="M262" i="2"/>
  <c r="M263" i="2"/>
  <c r="M264" i="2"/>
  <c r="M265" i="2"/>
  <c r="M266" i="2"/>
  <c r="M267" i="2"/>
  <c r="M268" i="2"/>
  <c r="M269" i="2"/>
  <c r="M270" i="2"/>
  <c r="M271" i="2"/>
  <c r="M272" i="2"/>
  <c r="M273" i="2"/>
  <c r="M274" i="2"/>
  <c r="M275" i="2"/>
  <c r="M276" i="2"/>
  <c r="M277" i="2"/>
  <c r="M278" i="2"/>
  <c r="M255" i="2"/>
  <c r="L279" i="2" s="1"/>
  <c r="M227" i="2"/>
  <c r="L251" i="2" s="1"/>
  <c r="M199" i="2"/>
  <c r="L223" i="2" s="1"/>
  <c r="M171" i="2"/>
  <c r="M143" i="2"/>
  <c r="L167" i="2" s="1"/>
  <c r="M115" i="2"/>
  <c r="M87" i="2"/>
  <c r="M111" i="2" s="1"/>
  <c r="M60" i="2"/>
  <c r="M61" i="2"/>
  <c r="M62" i="2"/>
  <c r="M63" i="2"/>
  <c r="M64" i="2"/>
  <c r="M65" i="2"/>
  <c r="M66" i="2"/>
  <c r="M67" i="2"/>
  <c r="M68" i="2"/>
  <c r="M69" i="2"/>
  <c r="M70" i="2"/>
  <c r="M71" i="2"/>
  <c r="M72" i="2"/>
  <c r="M73" i="2"/>
  <c r="M74" i="2"/>
  <c r="M75" i="2"/>
  <c r="M76" i="2"/>
  <c r="M77" i="2"/>
  <c r="M78" i="2"/>
  <c r="M79" i="2"/>
  <c r="M80" i="2"/>
  <c r="M81" i="2"/>
  <c r="M82" i="2"/>
  <c r="M59" i="2"/>
  <c r="M32" i="2"/>
  <c r="M33" i="2"/>
  <c r="M34" i="2"/>
  <c r="M35" i="2"/>
  <c r="M36" i="2"/>
  <c r="M37" i="2"/>
  <c r="M38" i="2"/>
  <c r="M39" i="2"/>
  <c r="M40" i="2"/>
  <c r="M41" i="2"/>
  <c r="M42" i="2"/>
  <c r="M43" i="2"/>
  <c r="M44" i="2"/>
  <c r="M45" i="2"/>
  <c r="M46" i="2"/>
  <c r="M47" i="2"/>
  <c r="M48" i="2"/>
  <c r="M49" i="2"/>
  <c r="M50" i="2"/>
  <c r="M51" i="2"/>
  <c r="M52" i="2"/>
  <c r="M53" i="2"/>
  <c r="M54" i="2"/>
  <c r="M31" i="2"/>
  <c r="M55" i="2" s="1"/>
  <c r="L278" i="2"/>
  <c r="L277" i="2"/>
  <c r="L276" i="2"/>
  <c r="L275" i="2"/>
  <c r="L274" i="2"/>
  <c r="L273" i="2"/>
  <c r="L272" i="2"/>
  <c r="L271" i="2"/>
  <c r="L270" i="2"/>
  <c r="L269" i="2"/>
  <c r="L268" i="2"/>
  <c r="L267" i="2"/>
  <c r="L266" i="2"/>
  <c r="L265" i="2"/>
  <c r="L264" i="2"/>
  <c r="L263" i="2"/>
  <c r="L262" i="2"/>
  <c r="L261" i="2"/>
  <c r="L260" i="2"/>
  <c r="L259" i="2"/>
  <c r="L258" i="2"/>
  <c r="L257" i="2"/>
  <c r="L256" i="2"/>
  <c r="L255" i="2"/>
  <c r="L250" i="2"/>
  <c r="L249" i="2"/>
  <c r="L248" i="2"/>
  <c r="L247" i="2"/>
  <c r="L246" i="2"/>
  <c r="L245" i="2"/>
  <c r="L244" i="2"/>
  <c r="L243" i="2"/>
  <c r="L242" i="2"/>
  <c r="L241" i="2"/>
  <c r="L240" i="2"/>
  <c r="L239" i="2"/>
  <c r="L238" i="2"/>
  <c r="L237" i="2"/>
  <c r="L236" i="2"/>
  <c r="L235" i="2"/>
  <c r="L234" i="2"/>
  <c r="L233" i="2"/>
  <c r="L232" i="2"/>
  <c r="L231" i="2"/>
  <c r="L230" i="2"/>
  <c r="L229" i="2"/>
  <c r="L228" i="2"/>
  <c r="L227" i="2"/>
  <c r="L222" i="2"/>
  <c r="L221" i="2"/>
  <c r="L220" i="2"/>
  <c r="L219" i="2"/>
  <c r="L218" i="2"/>
  <c r="L217" i="2"/>
  <c r="L216" i="2"/>
  <c r="L215" i="2"/>
  <c r="L214" i="2"/>
  <c r="L213" i="2"/>
  <c r="L212" i="2"/>
  <c r="L211" i="2"/>
  <c r="L210" i="2"/>
  <c r="L209" i="2"/>
  <c r="L208" i="2"/>
  <c r="L207" i="2"/>
  <c r="L206" i="2"/>
  <c r="L205" i="2"/>
  <c r="L204" i="2"/>
  <c r="L203" i="2"/>
  <c r="L202" i="2"/>
  <c r="L201" i="2"/>
  <c r="L200" i="2"/>
  <c r="L199" i="2"/>
  <c r="L194" i="2"/>
  <c r="L193" i="2"/>
  <c r="L192" i="2"/>
  <c r="L191" i="2"/>
  <c r="L190" i="2"/>
  <c r="L189" i="2"/>
  <c r="L188" i="2"/>
  <c r="L187" i="2"/>
  <c r="L186" i="2"/>
  <c r="L185" i="2"/>
  <c r="L184" i="2"/>
  <c r="L183" i="2"/>
  <c r="L182" i="2"/>
  <c r="L181" i="2"/>
  <c r="L180" i="2"/>
  <c r="L179" i="2"/>
  <c r="L178" i="2"/>
  <c r="L177" i="2"/>
  <c r="L176" i="2"/>
  <c r="L175" i="2"/>
  <c r="L174" i="2"/>
  <c r="L173" i="2"/>
  <c r="L172" i="2"/>
  <c r="L171" i="2"/>
  <c r="L166" i="2"/>
  <c r="L165" i="2"/>
  <c r="L164" i="2"/>
  <c r="L163" i="2"/>
  <c r="L162" i="2"/>
  <c r="L161" i="2"/>
  <c r="L160" i="2"/>
  <c r="L159" i="2"/>
  <c r="L158" i="2"/>
  <c r="L157" i="2"/>
  <c r="L156" i="2"/>
  <c r="L155" i="2"/>
  <c r="L154" i="2"/>
  <c r="L153" i="2"/>
  <c r="L152" i="2"/>
  <c r="L151" i="2"/>
  <c r="L150" i="2"/>
  <c r="L149" i="2"/>
  <c r="L148" i="2"/>
  <c r="L147" i="2"/>
  <c r="L146" i="2"/>
  <c r="L145" i="2"/>
  <c r="L144" i="2"/>
  <c r="L143" i="2"/>
  <c r="L138" i="2"/>
  <c r="L137" i="2"/>
  <c r="L136" i="2"/>
  <c r="L135" i="2"/>
  <c r="L134" i="2"/>
  <c r="L133" i="2"/>
  <c r="L132" i="2"/>
  <c r="L131" i="2"/>
  <c r="L130" i="2"/>
  <c r="L129" i="2"/>
  <c r="L128" i="2"/>
  <c r="L127" i="2"/>
  <c r="L126" i="2"/>
  <c r="L125" i="2"/>
  <c r="L124" i="2"/>
  <c r="L123" i="2"/>
  <c r="L122" i="2"/>
  <c r="L121" i="2"/>
  <c r="L120" i="2"/>
  <c r="L119" i="2"/>
  <c r="L118" i="2"/>
  <c r="L117" i="2"/>
  <c r="L116" i="2"/>
  <c r="L115" i="2"/>
  <c r="L110" i="2"/>
  <c r="L109" i="2"/>
  <c r="L108" i="2"/>
  <c r="L107" i="2"/>
  <c r="L106" i="2"/>
  <c r="L105" i="2"/>
  <c r="L104" i="2"/>
  <c r="L103" i="2"/>
  <c r="L102" i="2"/>
  <c r="L101" i="2"/>
  <c r="L100" i="2"/>
  <c r="L99" i="2"/>
  <c r="L98" i="2"/>
  <c r="L97" i="2"/>
  <c r="L96" i="2"/>
  <c r="L95" i="2"/>
  <c r="L94" i="2"/>
  <c r="L93" i="2"/>
  <c r="L92" i="2"/>
  <c r="L91" i="2"/>
  <c r="L90" i="2"/>
  <c r="L89" i="2"/>
  <c r="L88" i="2"/>
  <c r="L87" i="2"/>
  <c r="L111" i="2" s="1"/>
  <c r="L82" i="2"/>
  <c r="L81" i="2"/>
  <c r="L80" i="2"/>
  <c r="L79" i="2"/>
  <c r="L78" i="2"/>
  <c r="L77" i="2"/>
  <c r="L76" i="2"/>
  <c r="L75" i="2"/>
  <c r="L74" i="2"/>
  <c r="L73" i="2"/>
  <c r="L72" i="2"/>
  <c r="L71" i="2"/>
  <c r="L70" i="2"/>
  <c r="L69" i="2"/>
  <c r="L68" i="2"/>
  <c r="L67" i="2"/>
  <c r="L66" i="2"/>
  <c r="L65" i="2"/>
  <c r="L64" i="2"/>
  <c r="L63" i="2"/>
  <c r="L62" i="2"/>
  <c r="L61" i="2"/>
  <c r="L60" i="2"/>
  <c r="L59" i="2"/>
  <c r="L83" i="2" s="1"/>
  <c r="L31" i="2"/>
  <c r="CL28" i="10" l="1"/>
  <c r="CL10" i="10"/>
  <c r="BV28" i="10"/>
  <c r="CD28" i="10"/>
  <c r="CR28" i="10" s="1"/>
  <c r="BU28" i="10"/>
  <c r="BX28" i="10"/>
  <c r="CB28" i="10"/>
  <c r="CH28" i="10" s="1"/>
  <c r="CQ28" i="10" s="1"/>
  <c r="CS10" i="10"/>
  <c r="CT10" i="10" s="1"/>
  <c r="FB37" i="10"/>
  <c r="EJ10" i="10"/>
  <c r="EQ39" i="10" s="1"/>
  <c r="DJ10" i="10"/>
  <c r="FE36" i="10"/>
  <c r="CI28" i="1"/>
  <c r="CJ28" i="1" s="1"/>
  <c r="CC28" i="1"/>
  <c r="CQ28" i="1" s="1"/>
  <c r="BU28" i="1"/>
  <c r="BT28" i="1"/>
  <c r="BX28" i="1" s="1"/>
  <c r="M83" i="2"/>
  <c r="G59" i="2"/>
  <c r="L195" i="2"/>
  <c r="G171" i="2"/>
  <c r="C48" i="5"/>
  <c r="C49" i="5" s="1"/>
  <c r="C50" i="5" s="1"/>
  <c r="C51" i="5" s="1"/>
  <c r="C52" i="5" s="1"/>
  <c r="C53" i="5" s="1"/>
  <c r="C54" i="5" s="1"/>
  <c r="C55" i="5" s="1"/>
  <c r="C56" i="5" s="1"/>
  <c r="C57" i="5" s="1"/>
  <c r="C58" i="5" s="1"/>
  <c r="C59" i="5" s="1"/>
  <c r="C60" i="5" s="1"/>
  <c r="C61" i="5" s="1"/>
  <c r="C62" i="5" s="1"/>
  <c r="C63" i="5" s="1"/>
  <c r="C64" i="5" s="1"/>
  <c r="C65" i="5" s="1"/>
  <c r="C66" i="5" s="1"/>
  <c r="C67" i="5" s="1"/>
  <c r="CK28" i="1" l="1"/>
  <c r="BY28" i="10"/>
  <c r="DC28" i="10"/>
  <c r="FF36" i="10"/>
  <c r="DL10" i="10"/>
  <c r="DP10" i="10" s="1"/>
  <c r="FC37" i="10"/>
  <c r="ER39" i="10"/>
  <c r="ES39" i="10" s="1"/>
  <c r="ET39" i="10" s="1"/>
  <c r="EU39" i="10" s="1"/>
  <c r="EV39" i="10" s="1"/>
  <c r="EQ58" i="10"/>
  <c r="EQ59" i="10" s="1"/>
  <c r="EL11" i="10" s="1"/>
  <c r="DB28" i="1"/>
  <c r="BY28" i="1"/>
  <c r="BZ28" i="1" s="1"/>
  <c r="CA28" i="1" s="1"/>
  <c r="CG28" i="1" s="1"/>
  <c r="CP28" i="1" s="1"/>
  <c r="CW28" i="1"/>
  <c r="CL28" i="1"/>
  <c r="B48" i="5"/>
  <c r="B49" i="5" s="1"/>
  <c r="B50" i="5" s="1"/>
  <c r="B51" i="5" s="1"/>
  <c r="B52" i="5" s="1"/>
  <c r="B53" i="5" s="1"/>
  <c r="B54" i="5" s="1"/>
  <c r="B55" i="5" s="1"/>
  <c r="B56" i="5" s="1"/>
  <c r="B57" i="5" s="1"/>
  <c r="B58" i="5" s="1"/>
  <c r="B59" i="5" s="1"/>
  <c r="B60" i="5" s="1"/>
  <c r="B61" i="5" s="1"/>
  <c r="B62" i="5" s="1"/>
  <c r="B63" i="5" s="1"/>
  <c r="B64" i="5" s="1"/>
  <c r="B65" i="5" s="1"/>
  <c r="B66" i="5" s="1"/>
  <c r="B67" i="5" s="1"/>
  <c r="CU10" i="10"/>
  <c r="CX28" i="10" l="1"/>
  <c r="CM28" i="10"/>
  <c r="BZ28" i="10"/>
  <c r="BW10" i="10"/>
  <c r="BF10" i="10"/>
  <c r="DY12" i="10"/>
  <c r="DR10" i="10"/>
  <c r="DS10" i="10" s="1"/>
  <c r="CV10" i="10"/>
  <c r="FD37" i="10"/>
  <c r="EW39" i="10"/>
  <c r="EX39" i="10" s="1"/>
  <c r="EY39" i="10" s="1"/>
  <c r="EZ39" i="10" s="1"/>
  <c r="FA39" i="10" s="1"/>
  <c r="FB39" i="10" s="1"/>
  <c r="FC39" i="10" s="1"/>
  <c r="FD39" i="10" s="1"/>
  <c r="FE39" i="10" s="1"/>
  <c r="FF39" i="10" s="1"/>
  <c r="FG39" i="10" s="1"/>
  <c r="FH39" i="10" s="1"/>
  <c r="EV57" i="10"/>
  <c r="EK15" i="10" s="1"/>
  <c r="DK10" i="10"/>
  <c r="FG36" i="10"/>
  <c r="F13" i="5"/>
  <c r="D20" i="5"/>
  <c r="D21" i="5"/>
  <c r="D22" i="5"/>
  <c r="D23" i="5"/>
  <c r="D19" i="5"/>
  <c r="F19" i="5" s="1"/>
  <c r="DT10" i="10" l="1"/>
  <c r="BC10" i="10" s="1"/>
  <c r="DF11" i="10"/>
  <c r="FE37" i="10"/>
  <c r="EB12" i="10"/>
  <c r="FH36" i="10"/>
  <c r="F20" i="5"/>
  <c r="F21" i="5" s="1"/>
  <c r="F22" i="5" s="1"/>
  <c r="F23" i="5" s="1"/>
  <c r="BG12" i="10" l="1"/>
  <c r="K24" i="10" s="1"/>
  <c r="BD12" i="10"/>
  <c r="K23" i="10" s="1"/>
  <c r="FF37" i="10"/>
  <c r="DG11" i="10"/>
  <c r="DH11" i="10" s="1"/>
  <c r="DE11" i="10" s="1"/>
  <c r="DV11" i="10"/>
  <c r="DW11" i="10" s="1"/>
  <c r="DA11" i="10"/>
  <c r="DB11" i="10" s="1"/>
  <c r="DD11" i="10" s="1"/>
  <c r="CC11" i="10"/>
  <c r="BB11" i="10"/>
  <c r="J22" i="10" s="1"/>
  <c r="C13" i="5"/>
  <c r="D24" i="5" s="1"/>
  <c r="F24" i="5" s="1"/>
  <c r="EG11" i="10" l="1"/>
  <c r="EH11" i="10" s="1"/>
  <c r="DN11" i="10" s="1"/>
  <c r="DO11" i="10" s="1"/>
  <c r="DX11" i="10"/>
  <c r="BE11" i="10" s="1"/>
  <c r="FG37" i="10"/>
  <c r="CI11" i="10"/>
  <c r="CJ11" i="10" s="1"/>
  <c r="CK11" i="10" s="1"/>
  <c r="D28" i="5"/>
  <c r="D25" i="5"/>
  <c r="F25" i="5" s="1"/>
  <c r="D29" i="5"/>
  <c r="D26" i="5"/>
  <c r="D30" i="5"/>
  <c r="D27" i="5"/>
  <c r="CL11" i="10" l="1"/>
  <c r="EJ11" i="10"/>
  <c r="ER40" i="10" s="1"/>
  <c r="DJ11" i="10"/>
  <c r="FH37" i="10"/>
  <c r="CS11" i="10"/>
  <c r="CT11" i="10" s="1"/>
  <c r="F26" i="5"/>
  <c r="F27" i="5" s="1"/>
  <c r="F28" i="5" s="1"/>
  <c r="F29" i="5" s="1"/>
  <c r="F30" i="5" s="1"/>
  <c r="ES40" i="10" l="1"/>
  <c r="ET40" i="10" s="1"/>
  <c r="EU40" i="10" s="1"/>
  <c r="EV40" i="10" s="1"/>
  <c r="EW40" i="10" s="1"/>
  <c r="ER58" i="10"/>
  <c r="ER59" i="10" s="1"/>
  <c r="EL12" i="10" s="1"/>
  <c r="DL11" i="10"/>
  <c r="DP11" i="10" s="1"/>
  <c r="F20" i="2"/>
  <c r="CU11" i="10"/>
  <c r="BW11" i="10" l="1"/>
  <c r="BF11" i="10"/>
  <c r="DY13" i="10"/>
  <c r="DR11" i="10"/>
  <c r="DS11" i="10" s="1"/>
  <c r="DK11" i="10"/>
  <c r="CV11" i="10"/>
  <c r="EX40" i="10"/>
  <c r="EY40" i="10" s="1"/>
  <c r="EZ40" i="10" s="1"/>
  <c r="FA40" i="10" s="1"/>
  <c r="FB40" i="10" s="1"/>
  <c r="FC40" i="10" s="1"/>
  <c r="FD40" i="10" s="1"/>
  <c r="FE40" i="10" s="1"/>
  <c r="FF40" i="10" s="1"/>
  <c r="FG40" i="10" s="1"/>
  <c r="FH40" i="10" s="1"/>
  <c r="EW57" i="10"/>
  <c r="EK16" i="10" s="1"/>
  <c r="N278" i="2"/>
  <c r="G278" i="2"/>
  <c r="I278" i="2"/>
  <c r="N277" i="2"/>
  <c r="G277" i="2"/>
  <c r="I277" i="2"/>
  <c r="N276" i="2"/>
  <c r="G276" i="2"/>
  <c r="I276" i="2"/>
  <c r="N275" i="2"/>
  <c r="G275" i="2"/>
  <c r="I275" i="2"/>
  <c r="N274" i="2"/>
  <c r="G274" i="2"/>
  <c r="I274" i="2"/>
  <c r="N273" i="2"/>
  <c r="G273" i="2"/>
  <c r="I273" i="2"/>
  <c r="N272" i="2"/>
  <c r="G272" i="2"/>
  <c r="I272" i="2"/>
  <c r="N271" i="2"/>
  <c r="G271" i="2"/>
  <c r="I271" i="2"/>
  <c r="N270" i="2"/>
  <c r="G270" i="2"/>
  <c r="I270" i="2"/>
  <c r="N269" i="2"/>
  <c r="G269" i="2"/>
  <c r="I269" i="2"/>
  <c r="N268" i="2"/>
  <c r="G268" i="2"/>
  <c r="I268" i="2"/>
  <c r="N267" i="2"/>
  <c r="G267" i="2"/>
  <c r="I267" i="2"/>
  <c r="N266" i="2"/>
  <c r="G266" i="2"/>
  <c r="I266" i="2"/>
  <c r="N265" i="2"/>
  <c r="G265" i="2"/>
  <c r="I265" i="2"/>
  <c r="N264" i="2"/>
  <c r="G264" i="2"/>
  <c r="I264" i="2"/>
  <c r="N263" i="2"/>
  <c r="G263" i="2"/>
  <c r="I263" i="2"/>
  <c r="N262" i="2"/>
  <c r="G262" i="2"/>
  <c r="I262" i="2"/>
  <c r="N261" i="2"/>
  <c r="G261" i="2"/>
  <c r="I261" i="2"/>
  <c r="N260" i="2"/>
  <c r="G260" i="2"/>
  <c r="I260" i="2"/>
  <c r="N259" i="2"/>
  <c r="G259" i="2"/>
  <c r="I259" i="2"/>
  <c r="N258" i="2"/>
  <c r="G258" i="2"/>
  <c r="I258" i="2"/>
  <c r="N257" i="2"/>
  <c r="G257" i="2"/>
  <c r="I257" i="2"/>
  <c r="N256" i="2"/>
  <c r="G256" i="2"/>
  <c r="I256" i="2"/>
  <c r="N255" i="2"/>
  <c r="M279" i="2" s="1"/>
  <c r="G255" i="2"/>
  <c r="F279" i="2" s="1"/>
  <c r="N250" i="2"/>
  <c r="G250" i="2"/>
  <c r="I250" i="2"/>
  <c r="N249" i="2"/>
  <c r="G249" i="2"/>
  <c r="I249" i="2"/>
  <c r="N248" i="2"/>
  <c r="G248" i="2"/>
  <c r="I248" i="2"/>
  <c r="N247" i="2"/>
  <c r="G247" i="2"/>
  <c r="I247" i="2"/>
  <c r="N246" i="2"/>
  <c r="G246" i="2"/>
  <c r="I246" i="2"/>
  <c r="N245" i="2"/>
  <c r="G245" i="2"/>
  <c r="I245" i="2"/>
  <c r="N244" i="2"/>
  <c r="G244" i="2"/>
  <c r="I244" i="2"/>
  <c r="N243" i="2"/>
  <c r="G243" i="2"/>
  <c r="I243" i="2"/>
  <c r="N242" i="2"/>
  <c r="G242" i="2"/>
  <c r="I242" i="2"/>
  <c r="N241" i="2"/>
  <c r="G241" i="2"/>
  <c r="I241" i="2"/>
  <c r="N240" i="2"/>
  <c r="G240" i="2"/>
  <c r="I240" i="2"/>
  <c r="N239" i="2"/>
  <c r="G239" i="2"/>
  <c r="I239" i="2"/>
  <c r="N238" i="2"/>
  <c r="G238" i="2"/>
  <c r="I238" i="2"/>
  <c r="N237" i="2"/>
  <c r="G237" i="2"/>
  <c r="I237" i="2"/>
  <c r="N236" i="2"/>
  <c r="G236" i="2"/>
  <c r="I236" i="2"/>
  <c r="N235" i="2"/>
  <c r="G235" i="2"/>
  <c r="I235" i="2"/>
  <c r="N234" i="2"/>
  <c r="G234" i="2"/>
  <c r="I234" i="2"/>
  <c r="N233" i="2"/>
  <c r="G233" i="2"/>
  <c r="I233" i="2"/>
  <c r="N232" i="2"/>
  <c r="G232" i="2"/>
  <c r="I232" i="2"/>
  <c r="N231" i="2"/>
  <c r="G231" i="2"/>
  <c r="I231" i="2"/>
  <c r="N230" i="2"/>
  <c r="G230" i="2"/>
  <c r="I230" i="2"/>
  <c r="N229" i="2"/>
  <c r="G229" i="2"/>
  <c r="I229" i="2"/>
  <c r="N228" i="2"/>
  <c r="G228" i="2"/>
  <c r="I228" i="2"/>
  <c r="N227" i="2"/>
  <c r="M251" i="2" s="1"/>
  <c r="G227" i="2"/>
  <c r="F251" i="2" s="1"/>
  <c r="N222" i="2"/>
  <c r="G222" i="2"/>
  <c r="I222" i="2"/>
  <c r="N221" i="2"/>
  <c r="G221" i="2"/>
  <c r="I221" i="2"/>
  <c r="N220" i="2"/>
  <c r="G220" i="2"/>
  <c r="I220" i="2"/>
  <c r="N219" i="2"/>
  <c r="G219" i="2"/>
  <c r="I219" i="2"/>
  <c r="N218" i="2"/>
  <c r="G218" i="2"/>
  <c r="I218" i="2"/>
  <c r="N217" i="2"/>
  <c r="G217" i="2"/>
  <c r="I217" i="2"/>
  <c r="N216" i="2"/>
  <c r="G216" i="2"/>
  <c r="I216" i="2"/>
  <c r="N215" i="2"/>
  <c r="G215" i="2"/>
  <c r="I215" i="2"/>
  <c r="N214" i="2"/>
  <c r="G214" i="2"/>
  <c r="I214" i="2"/>
  <c r="N213" i="2"/>
  <c r="G213" i="2"/>
  <c r="I213" i="2"/>
  <c r="N212" i="2"/>
  <c r="G212" i="2"/>
  <c r="I212" i="2"/>
  <c r="N211" i="2"/>
  <c r="G211" i="2"/>
  <c r="I211" i="2"/>
  <c r="N210" i="2"/>
  <c r="G210" i="2"/>
  <c r="I210" i="2"/>
  <c r="N209" i="2"/>
  <c r="G209" i="2"/>
  <c r="I209" i="2"/>
  <c r="N208" i="2"/>
  <c r="G208" i="2"/>
  <c r="I208" i="2"/>
  <c r="N207" i="2"/>
  <c r="G207" i="2"/>
  <c r="I207" i="2"/>
  <c r="N206" i="2"/>
  <c r="G206" i="2"/>
  <c r="I206" i="2"/>
  <c r="N205" i="2"/>
  <c r="G205" i="2"/>
  <c r="I205" i="2"/>
  <c r="N204" i="2"/>
  <c r="G204" i="2"/>
  <c r="I204" i="2"/>
  <c r="N203" i="2"/>
  <c r="G203" i="2"/>
  <c r="I203" i="2"/>
  <c r="N202" i="2"/>
  <c r="G202" i="2"/>
  <c r="I202" i="2"/>
  <c r="N201" i="2"/>
  <c r="G201" i="2"/>
  <c r="I201" i="2"/>
  <c r="N200" i="2"/>
  <c r="G200" i="2"/>
  <c r="I200" i="2"/>
  <c r="N199" i="2"/>
  <c r="M223" i="2" s="1"/>
  <c r="G199" i="2"/>
  <c r="N194" i="2"/>
  <c r="I194" i="2"/>
  <c r="N193" i="2"/>
  <c r="I193" i="2"/>
  <c r="N192" i="2"/>
  <c r="I192" i="2"/>
  <c r="N191" i="2"/>
  <c r="I191" i="2"/>
  <c r="N190" i="2"/>
  <c r="I190" i="2"/>
  <c r="N189" i="2"/>
  <c r="I189" i="2"/>
  <c r="N188" i="2"/>
  <c r="I188" i="2"/>
  <c r="N187" i="2"/>
  <c r="I187" i="2"/>
  <c r="N186" i="2"/>
  <c r="I186" i="2"/>
  <c r="N185" i="2"/>
  <c r="I185" i="2"/>
  <c r="N184" i="2"/>
  <c r="I184" i="2"/>
  <c r="N183" i="2"/>
  <c r="I183" i="2"/>
  <c r="N182" i="2"/>
  <c r="I182" i="2"/>
  <c r="N181" i="2"/>
  <c r="I181" i="2"/>
  <c r="N180" i="2"/>
  <c r="I180" i="2"/>
  <c r="N179" i="2"/>
  <c r="I179" i="2"/>
  <c r="N178" i="2"/>
  <c r="I178" i="2"/>
  <c r="N177" i="2"/>
  <c r="I177" i="2"/>
  <c r="N176" i="2"/>
  <c r="I176" i="2"/>
  <c r="N175" i="2"/>
  <c r="I175" i="2"/>
  <c r="N174" i="2"/>
  <c r="I174" i="2"/>
  <c r="N173" i="2"/>
  <c r="I173" i="2"/>
  <c r="N172" i="2"/>
  <c r="I172" i="2"/>
  <c r="N171" i="2"/>
  <c r="M195" i="2" s="1"/>
  <c r="G195" i="2" s="1"/>
  <c r="N166" i="2"/>
  <c r="G166" i="2"/>
  <c r="I166" i="2"/>
  <c r="N165" i="2"/>
  <c r="G165" i="2"/>
  <c r="I165" i="2"/>
  <c r="N164" i="2"/>
  <c r="G164" i="2"/>
  <c r="I164" i="2"/>
  <c r="N163" i="2"/>
  <c r="G163" i="2"/>
  <c r="I163" i="2"/>
  <c r="N162" i="2"/>
  <c r="G162" i="2"/>
  <c r="I162" i="2"/>
  <c r="N161" i="2"/>
  <c r="G161" i="2"/>
  <c r="I161" i="2"/>
  <c r="N160" i="2"/>
  <c r="G160" i="2"/>
  <c r="I160" i="2"/>
  <c r="N159" i="2"/>
  <c r="G159" i="2"/>
  <c r="I159" i="2"/>
  <c r="N158" i="2"/>
  <c r="G158" i="2"/>
  <c r="I158" i="2"/>
  <c r="N157" i="2"/>
  <c r="G157" i="2"/>
  <c r="I157" i="2"/>
  <c r="N156" i="2"/>
  <c r="G156" i="2"/>
  <c r="I156" i="2"/>
  <c r="N155" i="2"/>
  <c r="G155" i="2"/>
  <c r="I155" i="2"/>
  <c r="N154" i="2"/>
  <c r="G154" i="2"/>
  <c r="I154" i="2"/>
  <c r="N153" i="2"/>
  <c r="G153" i="2"/>
  <c r="I153" i="2"/>
  <c r="N152" i="2"/>
  <c r="G152" i="2"/>
  <c r="I152" i="2"/>
  <c r="N151" i="2"/>
  <c r="G151" i="2"/>
  <c r="I151" i="2"/>
  <c r="N150" i="2"/>
  <c r="G150" i="2"/>
  <c r="I150" i="2"/>
  <c r="N149" i="2"/>
  <c r="G149" i="2"/>
  <c r="I149" i="2"/>
  <c r="N148" i="2"/>
  <c r="G148" i="2"/>
  <c r="I148" i="2"/>
  <c r="N147" i="2"/>
  <c r="G147" i="2"/>
  <c r="I147" i="2"/>
  <c r="N146" i="2"/>
  <c r="G146" i="2"/>
  <c r="I146" i="2"/>
  <c r="N145" i="2"/>
  <c r="G145" i="2"/>
  <c r="I145" i="2"/>
  <c r="N144" i="2"/>
  <c r="G144" i="2"/>
  <c r="I144" i="2"/>
  <c r="N143" i="2"/>
  <c r="M167" i="2" s="1"/>
  <c r="G143" i="2"/>
  <c r="N138" i="2"/>
  <c r="G138" i="2"/>
  <c r="I138" i="2"/>
  <c r="N137" i="2"/>
  <c r="G137" i="2"/>
  <c r="I137" i="2"/>
  <c r="N136" i="2"/>
  <c r="G136" i="2"/>
  <c r="I136" i="2"/>
  <c r="N135" i="2"/>
  <c r="G135" i="2"/>
  <c r="I135" i="2"/>
  <c r="N134" i="2"/>
  <c r="G134" i="2"/>
  <c r="I134" i="2"/>
  <c r="N133" i="2"/>
  <c r="G133" i="2"/>
  <c r="I133" i="2"/>
  <c r="N132" i="2"/>
  <c r="G132" i="2"/>
  <c r="I132" i="2"/>
  <c r="N131" i="2"/>
  <c r="G131" i="2"/>
  <c r="I131" i="2"/>
  <c r="N130" i="2"/>
  <c r="G130" i="2"/>
  <c r="I130" i="2"/>
  <c r="N129" i="2"/>
  <c r="G129" i="2"/>
  <c r="I129" i="2"/>
  <c r="N128" i="2"/>
  <c r="G128" i="2"/>
  <c r="I128" i="2"/>
  <c r="N127" i="2"/>
  <c r="G127" i="2"/>
  <c r="I127" i="2"/>
  <c r="N126" i="2"/>
  <c r="G126" i="2"/>
  <c r="I126" i="2"/>
  <c r="N125" i="2"/>
  <c r="G125" i="2"/>
  <c r="I125" i="2"/>
  <c r="N124" i="2"/>
  <c r="G124" i="2"/>
  <c r="I124" i="2"/>
  <c r="N123" i="2"/>
  <c r="G123" i="2"/>
  <c r="I123" i="2"/>
  <c r="N122" i="2"/>
  <c r="G122" i="2"/>
  <c r="I122" i="2"/>
  <c r="N121" i="2"/>
  <c r="G121" i="2"/>
  <c r="I121" i="2"/>
  <c r="N120" i="2"/>
  <c r="G120" i="2"/>
  <c r="I120" i="2"/>
  <c r="N119" i="2"/>
  <c r="G119" i="2"/>
  <c r="I119" i="2"/>
  <c r="N118" i="2"/>
  <c r="G118" i="2"/>
  <c r="I118" i="2"/>
  <c r="N117" i="2"/>
  <c r="G117" i="2"/>
  <c r="I117" i="2"/>
  <c r="N116" i="2"/>
  <c r="G116" i="2"/>
  <c r="I116" i="2"/>
  <c r="N115" i="2"/>
  <c r="N139" i="2" s="1"/>
  <c r="G115" i="2"/>
  <c r="N110" i="2"/>
  <c r="G110" i="2"/>
  <c r="I110" i="2"/>
  <c r="N109" i="2"/>
  <c r="G109" i="2"/>
  <c r="I109" i="2"/>
  <c r="N108" i="2"/>
  <c r="G108" i="2"/>
  <c r="I108" i="2"/>
  <c r="N107" i="2"/>
  <c r="G107" i="2"/>
  <c r="I107" i="2"/>
  <c r="N106" i="2"/>
  <c r="G106" i="2"/>
  <c r="I106" i="2"/>
  <c r="N105" i="2"/>
  <c r="G105" i="2"/>
  <c r="I105" i="2"/>
  <c r="N104" i="2"/>
  <c r="G104" i="2"/>
  <c r="I104" i="2"/>
  <c r="N103" i="2"/>
  <c r="G103" i="2"/>
  <c r="I103" i="2"/>
  <c r="N102" i="2"/>
  <c r="G102" i="2"/>
  <c r="I102" i="2"/>
  <c r="N101" i="2"/>
  <c r="G101" i="2"/>
  <c r="I101" i="2"/>
  <c r="N100" i="2"/>
  <c r="G100" i="2"/>
  <c r="I100" i="2"/>
  <c r="N99" i="2"/>
  <c r="G99" i="2"/>
  <c r="I99" i="2"/>
  <c r="N98" i="2"/>
  <c r="G98" i="2"/>
  <c r="I98" i="2"/>
  <c r="N97" i="2"/>
  <c r="G97" i="2"/>
  <c r="I97" i="2"/>
  <c r="N96" i="2"/>
  <c r="G96" i="2"/>
  <c r="I96" i="2"/>
  <c r="N95" i="2"/>
  <c r="G95" i="2"/>
  <c r="I95" i="2"/>
  <c r="N94" i="2"/>
  <c r="G94" i="2"/>
  <c r="I94" i="2"/>
  <c r="N93" i="2"/>
  <c r="G93" i="2"/>
  <c r="I93" i="2"/>
  <c r="N92" i="2"/>
  <c r="G92" i="2"/>
  <c r="I92" i="2"/>
  <c r="N91" i="2"/>
  <c r="G91" i="2"/>
  <c r="I91" i="2"/>
  <c r="N90" i="2"/>
  <c r="G90" i="2"/>
  <c r="I90" i="2"/>
  <c r="N89" i="2"/>
  <c r="G89" i="2"/>
  <c r="I89" i="2"/>
  <c r="N88" i="2"/>
  <c r="G88" i="2"/>
  <c r="I88" i="2"/>
  <c r="N87" i="2"/>
  <c r="N111" i="2" s="1"/>
  <c r="G87" i="2"/>
  <c r="G111" i="2" s="1"/>
  <c r="N82" i="2"/>
  <c r="G82" i="2"/>
  <c r="I82" i="2"/>
  <c r="N81" i="2"/>
  <c r="G81" i="2"/>
  <c r="I81" i="2"/>
  <c r="N80" i="2"/>
  <c r="G80" i="2"/>
  <c r="I80" i="2"/>
  <c r="N79" i="2"/>
  <c r="G79" i="2"/>
  <c r="I79" i="2"/>
  <c r="N78" i="2"/>
  <c r="G78" i="2"/>
  <c r="I78" i="2"/>
  <c r="N77" i="2"/>
  <c r="G77" i="2"/>
  <c r="I77" i="2"/>
  <c r="N76" i="2"/>
  <c r="G76" i="2"/>
  <c r="I76" i="2"/>
  <c r="N75" i="2"/>
  <c r="G75" i="2"/>
  <c r="I75" i="2"/>
  <c r="N74" i="2"/>
  <c r="G74" i="2"/>
  <c r="I74" i="2"/>
  <c r="N73" i="2"/>
  <c r="G73" i="2"/>
  <c r="I73" i="2"/>
  <c r="N72" i="2"/>
  <c r="G72" i="2"/>
  <c r="I72" i="2"/>
  <c r="N71" i="2"/>
  <c r="G71" i="2"/>
  <c r="I71" i="2"/>
  <c r="N70" i="2"/>
  <c r="G70" i="2"/>
  <c r="I70" i="2"/>
  <c r="N69" i="2"/>
  <c r="G69" i="2"/>
  <c r="I69" i="2"/>
  <c r="N68" i="2"/>
  <c r="G68" i="2"/>
  <c r="I68" i="2"/>
  <c r="N67" i="2"/>
  <c r="G67" i="2"/>
  <c r="I67" i="2"/>
  <c r="N66" i="2"/>
  <c r="G66" i="2"/>
  <c r="I66" i="2"/>
  <c r="N65" i="2"/>
  <c r="G65" i="2"/>
  <c r="I65" i="2"/>
  <c r="N64" i="2"/>
  <c r="G64" i="2"/>
  <c r="I64" i="2"/>
  <c r="N63" i="2"/>
  <c r="G63" i="2"/>
  <c r="I63" i="2"/>
  <c r="N62" i="2"/>
  <c r="G62" i="2"/>
  <c r="I62" i="2"/>
  <c r="N61" i="2"/>
  <c r="G61" i="2"/>
  <c r="I61" i="2"/>
  <c r="N60" i="2"/>
  <c r="G60" i="2"/>
  <c r="I60" i="2"/>
  <c r="N59" i="2"/>
  <c r="N83" i="2" s="1"/>
  <c r="G83" i="2"/>
  <c r="N54" i="2"/>
  <c r="G54" i="2"/>
  <c r="I54" i="2"/>
  <c r="N53" i="2"/>
  <c r="G53" i="2"/>
  <c r="I53" i="2"/>
  <c r="N52" i="2"/>
  <c r="G52" i="2"/>
  <c r="I52" i="2"/>
  <c r="N51" i="2"/>
  <c r="G51" i="2"/>
  <c r="I51" i="2"/>
  <c r="N50" i="2"/>
  <c r="G50" i="2"/>
  <c r="I50" i="2"/>
  <c r="N49" i="2"/>
  <c r="G49" i="2"/>
  <c r="I49" i="2"/>
  <c r="N48" i="2"/>
  <c r="G48" i="2"/>
  <c r="I48" i="2"/>
  <c r="N47" i="2"/>
  <c r="G47" i="2"/>
  <c r="I47" i="2"/>
  <c r="N46" i="2"/>
  <c r="G46" i="2"/>
  <c r="I46" i="2"/>
  <c r="N45" i="2"/>
  <c r="G45" i="2"/>
  <c r="I45" i="2"/>
  <c r="N44" i="2"/>
  <c r="G44" i="2"/>
  <c r="I44" i="2"/>
  <c r="N43" i="2"/>
  <c r="G43" i="2"/>
  <c r="I43" i="2"/>
  <c r="N42" i="2"/>
  <c r="G42" i="2"/>
  <c r="I42" i="2"/>
  <c r="N41" i="2"/>
  <c r="G41" i="2"/>
  <c r="I41" i="2"/>
  <c r="G40" i="2"/>
  <c r="I40" i="2"/>
  <c r="G39" i="2"/>
  <c r="I39" i="2"/>
  <c r="G38" i="2"/>
  <c r="I38" i="2"/>
  <c r="G37" i="2"/>
  <c r="I37" i="2"/>
  <c r="N36" i="2"/>
  <c r="G36" i="2"/>
  <c r="I36" i="2"/>
  <c r="N35" i="2"/>
  <c r="G35" i="2"/>
  <c r="I35" i="2"/>
  <c r="N34" i="2"/>
  <c r="G34" i="2"/>
  <c r="I34" i="2"/>
  <c r="N33" i="2"/>
  <c r="G33" i="2"/>
  <c r="I33" i="2"/>
  <c r="N32" i="2"/>
  <c r="G32" i="2"/>
  <c r="I32" i="2"/>
  <c r="N31" i="2"/>
  <c r="N55" i="2" s="1"/>
  <c r="G31" i="2"/>
  <c r="J20" i="2"/>
  <c r="P17" i="2"/>
  <c r="DF12" i="10" l="1"/>
  <c r="DT11" i="10"/>
  <c r="BC11" i="10" s="1"/>
  <c r="EB13" i="10"/>
  <c r="G55" i="2"/>
  <c r="G56" i="2" s="1"/>
  <c r="EI4" i="1"/>
  <c r="BA4" i="1"/>
  <c r="DF4" i="1"/>
  <c r="DG4" i="1" s="1"/>
  <c r="CZ4" i="1"/>
  <c r="DA4" i="1" s="1"/>
  <c r="DC4" i="1" s="1"/>
  <c r="C30" i="11" s="1"/>
  <c r="CB4" i="1"/>
  <c r="CH4" i="1" s="1"/>
  <c r="DU4" i="1"/>
  <c r="DV4" i="1" s="1"/>
  <c r="DW4" i="1" s="1"/>
  <c r="BD4" i="1" s="1"/>
  <c r="EJ33" i="1"/>
  <c r="EJ58" i="1" s="1"/>
  <c r="EJ59" i="1" s="1"/>
  <c r="EK5" i="1" s="1"/>
  <c r="DV12" i="10" l="1"/>
  <c r="DW12" i="10" s="1"/>
  <c r="DA12" i="10"/>
  <c r="CC12" i="10"/>
  <c r="DG12" i="10"/>
  <c r="DH12" i="10" s="1"/>
  <c r="BB12" i="10"/>
  <c r="K22" i="10" s="1"/>
  <c r="BD13" i="10"/>
  <c r="L23" i="10" s="1"/>
  <c r="BG13" i="10"/>
  <c r="L24" i="10" s="1"/>
  <c r="EK33" i="1"/>
  <c r="EL33" i="1" s="1"/>
  <c r="EM33" i="1" s="1"/>
  <c r="EN33" i="1" s="1"/>
  <c r="EO33" i="1" s="1"/>
  <c r="CR4" i="1"/>
  <c r="CS4" i="1" s="1"/>
  <c r="CT4" i="1" s="1"/>
  <c r="DH4" i="1"/>
  <c r="DI4" i="1" s="1"/>
  <c r="BE4" i="1" l="1"/>
  <c r="DB12" i="10"/>
  <c r="DD12" i="10" s="1"/>
  <c r="CI12" i="10"/>
  <c r="CJ12" i="10" s="1"/>
  <c r="EG12" i="10"/>
  <c r="EH12" i="10" s="1"/>
  <c r="DN12" i="10" s="1"/>
  <c r="DO12" i="10" s="1"/>
  <c r="DX12" i="10"/>
  <c r="BE12" i="10" s="1"/>
  <c r="BV4" i="1"/>
  <c r="DX6" i="1"/>
  <c r="EO57" i="1"/>
  <c r="EJ9" i="1" s="1"/>
  <c r="EP33" i="1"/>
  <c r="CU4" i="1"/>
  <c r="DK4" i="1"/>
  <c r="DO4" i="1" s="1"/>
  <c r="DQ4" i="1" s="1"/>
  <c r="G31" i="11" s="1"/>
  <c r="CK12" i="10"/>
  <c r="CL12" i="10" l="1"/>
  <c r="DE12" i="10"/>
  <c r="EJ12" i="10" s="1"/>
  <c r="ES41" i="10" s="1"/>
  <c r="CS12" i="10"/>
  <c r="CT12" i="10" s="1"/>
  <c r="DJ4" i="1"/>
  <c r="DR4" i="1"/>
  <c r="EQ33" i="1"/>
  <c r="DJ12" i="10" l="1"/>
  <c r="DL12" i="10" s="1"/>
  <c r="DP12" i="10" s="1"/>
  <c r="ET41" i="10"/>
  <c r="EU41" i="10" s="1"/>
  <c r="EV41" i="10" s="1"/>
  <c r="EW41" i="10" s="1"/>
  <c r="EX41" i="10" s="1"/>
  <c r="ES58" i="10"/>
  <c r="ES59" i="10" s="1"/>
  <c r="EL13" i="10" s="1"/>
  <c r="DE5" i="1"/>
  <c r="DS4" i="1"/>
  <c r="BB4" i="1" s="1"/>
  <c r="ER33" i="1"/>
  <c r="CU12" i="10"/>
  <c r="DF5" i="1" l="1"/>
  <c r="DG5" i="1" s="1"/>
  <c r="E31" i="11"/>
  <c r="DR12" i="10"/>
  <c r="DS12" i="10" s="1"/>
  <c r="BW12" i="10"/>
  <c r="BF12" i="10"/>
  <c r="DY14" i="10"/>
  <c r="DK12" i="10"/>
  <c r="EY41" i="10"/>
  <c r="EZ41" i="10" s="1"/>
  <c r="FA41" i="10" s="1"/>
  <c r="FB41" i="10" s="1"/>
  <c r="FC41" i="10" s="1"/>
  <c r="FD41" i="10" s="1"/>
  <c r="FE41" i="10" s="1"/>
  <c r="FF41" i="10" s="1"/>
  <c r="FG41" i="10" s="1"/>
  <c r="FH41" i="10" s="1"/>
  <c r="EX57" i="10"/>
  <c r="EK17" i="10" s="1"/>
  <c r="CV12" i="10"/>
  <c r="ES33" i="1"/>
  <c r="BA5" i="1"/>
  <c r="CZ5" i="1"/>
  <c r="DA5" i="1" s="1"/>
  <c r="DC5" i="1" s="1"/>
  <c r="C31" i="11" s="1"/>
  <c r="DU5" i="1"/>
  <c r="DV5" i="1" s="1"/>
  <c r="CB5" i="1"/>
  <c r="D22" i="1" l="1"/>
  <c r="F31" i="11"/>
  <c r="H31" i="11" s="1"/>
  <c r="DT12" i="10"/>
  <c r="BC12" i="10" s="1"/>
  <c r="DF13" i="10"/>
  <c r="EB14" i="10"/>
  <c r="C31" i="7"/>
  <c r="DH5" i="1"/>
  <c r="EI5" i="1" s="1"/>
  <c r="EK34" i="1" s="1"/>
  <c r="EK58" i="1" s="1"/>
  <c r="EK59" i="1" s="1"/>
  <c r="EK6" i="1" s="1"/>
  <c r="DW5" i="1"/>
  <c r="BD5" i="1" s="1"/>
  <c r="EF5" i="1"/>
  <c r="EG5" i="1" s="1"/>
  <c r="DM5" i="1" s="1"/>
  <c r="CH5" i="1"/>
  <c r="CR5" i="1" s="1"/>
  <c r="CS5" i="1" s="1"/>
  <c r="CT5" i="1" s="1"/>
  <c r="ET33" i="1"/>
  <c r="BG14" i="10" l="1"/>
  <c r="M24" i="10" s="1"/>
  <c r="BD14" i="10"/>
  <c r="M23" i="10" s="1"/>
  <c r="DG13" i="10"/>
  <c r="DH13" i="10" s="1"/>
  <c r="CC13" i="10"/>
  <c r="DV13" i="10"/>
  <c r="DW13" i="10" s="1"/>
  <c r="DA13" i="10"/>
  <c r="DB13" i="10" s="1"/>
  <c r="BB13" i="10"/>
  <c r="L22" i="10" s="1"/>
  <c r="EL34" i="1"/>
  <c r="EM34" i="1" s="1"/>
  <c r="DI5" i="1"/>
  <c r="DK5" i="1" s="1"/>
  <c r="DN5" i="1"/>
  <c r="EU33" i="1"/>
  <c r="CU5" i="1"/>
  <c r="DE13" i="10" l="1"/>
  <c r="DD13" i="10"/>
  <c r="CI13" i="10"/>
  <c r="CJ13" i="10" s="1"/>
  <c r="CK13" i="10" s="1"/>
  <c r="EG13" i="10"/>
  <c r="EH13" i="10" s="1"/>
  <c r="DN13" i="10" s="1"/>
  <c r="DO13" i="10" s="1"/>
  <c r="DX13" i="10"/>
  <c r="BE13" i="10" s="1"/>
  <c r="DO5" i="1"/>
  <c r="DQ5" i="1" s="1"/>
  <c r="G32" i="11" s="1"/>
  <c r="EV33" i="1"/>
  <c r="BE5" i="1"/>
  <c r="BV5" i="1"/>
  <c r="DX7" i="1"/>
  <c r="DJ5" i="1"/>
  <c r="EN34" i="1"/>
  <c r="CL13" i="10" l="1"/>
  <c r="CS13" i="10"/>
  <c r="CT13" i="10" s="1"/>
  <c r="EJ13" i="10"/>
  <c r="ET42" i="10" s="1"/>
  <c r="DJ13" i="10"/>
  <c r="DR5" i="1"/>
  <c r="DS5" i="1" s="1"/>
  <c r="BB5" i="1" s="1"/>
  <c r="EO34" i="1"/>
  <c r="EW33" i="1"/>
  <c r="CU13" i="10"/>
  <c r="CV13" i="10" l="1"/>
  <c r="EU42" i="10"/>
  <c r="EV42" i="10" s="1"/>
  <c r="EW42" i="10" s="1"/>
  <c r="EX42" i="10" s="1"/>
  <c r="EY42" i="10" s="1"/>
  <c r="ET58" i="10"/>
  <c r="ET59" i="10" s="1"/>
  <c r="EL14" i="10" s="1"/>
  <c r="DL13" i="10"/>
  <c r="DP13" i="10" s="1"/>
  <c r="BW13" i="10"/>
  <c r="BF13" i="10"/>
  <c r="DY15" i="10"/>
  <c r="DE6" i="1"/>
  <c r="E32" i="11" s="1"/>
  <c r="EP34" i="1"/>
  <c r="EX33" i="1"/>
  <c r="DU6" i="1" l="1"/>
  <c r="DV6" i="1" s="1"/>
  <c r="DY6" i="1" s="1"/>
  <c r="EA6" i="1" s="1"/>
  <c r="DF6" i="1"/>
  <c r="DG6" i="1" s="1"/>
  <c r="DR13" i="10"/>
  <c r="DS13" i="10" s="1"/>
  <c r="EZ42" i="10"/>
  <c r="FA42" i="10" s="1"/>
  <c r="FB42" i="10" s="1"/>
  <c r="FC42" i="10" s="1"/>
  <c r="FD42" i="10" s="1"/>
  <c r="FE42" i="10" s="1"/>
  <c r="FF42" i="10" s="1"/>
  <c r="FG42" i="10" s="1"/>
  <c r="FH42" i="10" s="1"/>
  <c r="EY57" i="10"/>
  <c r="EK18" i="10" s="1"/>
  <c r="EB15" i="10"/>
  <c r="DK13" i="10"/>
  <c r="CB6" i="1"/>
  <c r="CH6" i="1" s="1"/>
  <c r="CZ6" i="1"/>
  <c r="DA6" i="1" s="1"/>
  <c r="DC6" i="1" s="1"/>
  <c r="C32" i="11" s="1"/>
  <c r="EY33" i="1"/>
  <c r="EQ34" i="1"/>
  <c r="EP57" i="1"/>
  <c r="EJ10" i="1" s="1"/>
  <c r="EF6" i="1" l="1"/>
  <c r="EG6" i="1" s="1"/>
  <c r="DM6" i="1" s="1"/>
  <c r="DW6" i="1"/>
  <c r="BD6" i="1" s="1"/>
  <c r="DF14" i="10"/>
  <c r="DT13" i="10"/>
  <c r="BC13" i="10" s="1"/>
  <c r="BD15" i="10"/>
  <c r="N23" i="10" s="1"/>
  <c r="BG15" i="10"/>
  <c r="N24" i="10" s="1"/>
  <c r="DH6" i="1"/>
  <c r="EI6" i="1" s="1"/>
  <c r="EL35" i="1" s="1"/>
  <c r="CR6" i="1"/>
  <c r="CS6" i="1" s="1"/>
  <c r="CT6" i="1" s="1"/>
  <c r="CI6" i="1"/>
  <c r="CJ6" i="1" s="1"/>
  <c r="BC6" i="1"/>
  <c r="E23" i="1" s="1"/>
  <c r="BF6" i="1"/>
  <c r="E24" i="1" s="1"/>
  <c r="BA6" i="1"/>
  <c r="DN6" i="1"/>
  <c r="EZ33" i="1"/>
  <c r="ER34" i="1"/>
  <c r="E22" i="1" l="1"/>
  <c r="F32" i="11"/>
  <c r="H32" i="11" s="1"/>
  <c r="CK6" i="1"/>
  <c r="CC14" i="10"/>
  <c r="DV14" i="10"/>
  <c r="DW14" i="10" s="1"/>
  <c r="DA14" i="10"/>
  <c r="DB14" i="10" s="1"/>
  <c r="DG14" i="10"/>
  <c r="DH14" i="10" s="1"/>
  <c r="BB14" i="10"/>
  <c r="M22" i="10" s="1"/>
  <c r="C32" i="7"/>
  <c r="DI6" i="1"/>
  <c r="DK6" i="1" s="1"/>
  <c r="DO6" i="1" s="1"/>
  <c r="EM35" i="1"/>
  <c r="EL58" i="1"/>
  <c r="EL59" i="1" s="1"/>
  <c r="EK7" i="1" s="1"/>
  <c r="ES34" i="1"/>
  <c r="FA33" i="1"/>
  <c r="DQ6" i="1" l="1"/>
  <c r="CU6" i="1"/>
  <c r="DE14" i="10"/>
  <c r="EJ14" i="10" s="1"/>
  <c r="EU43" i="10" s="1"/>
  <c r="EU58" i="10" s="1"/>
  <c r="EU59" i="10" s="1"/>
  <c r="EL15" i="10" s="1"/>
  <c r="DD14" i="10"/>
  <c r="EG14" i="10"/>
  <c r="EH14" i="10" s="1"/>
  <c r="DN14" i="10" s="1"/>
  <c r="DO14" i="10" s="1"/>
  <c r="DX14" i="10"/>
  <c r="BE14" i="10" s="1"/>
  <c r="CI14" i="10"/>
  <c r="CJ14" i="10" s="1"/>
  <c r="CK14" i="10" s="1"/>
  <c r="DX8" i="1"/>
  <c r="BV6" i="1"/>
  <c r="BE6" i="1"/>
  <c r="EN35" i="1"/>
  <c r="FB33" i="1"/>
  <c r="ET34" i="1"/>
  <c r="DJ6" i="1"/>
  <c r="DR6" i="1" l="1"/>
  <c r="DS6" i="1" s="1"/>
  <c r="BB6" i="1" s="1"/>
  <c r="G33" i="11"/>
  <c r="CL14" i="10"/>
  <c r="EV43" i="10"/>
  <c r="EW43" i="10" s="1"/>
  <c r="EX43" i="10" s="1"/>
  <c r="EY43" i="10" s="1"/>
  <c r="EZ43" i="10" s="1"/>
  <c r="EZ57" i="10" s="1"/>
  <c r="EK19" i="10" s="1"/>
  <c r="DJ14" i="10"/>
  <c r="DL14" i="10" s="1"/>
  <c r="DP14" i="10" s="1"/>
  <c r="CS14" i="10"/>
  <c r="CT14" i="10" s="1"/>
  <c r="FC33" i="1"/>
  <c r="EU34" i="1"/>
  <c r="EO35" i="1"/>
  <c r="DE7" i="1" l="1"/>
  <c r="DF7" i="1" s="1"/>
  <c r="DG7" i="1" s="1"/>
  <c r="FA43" i="10"/>
  <c r="FB43" i="10" s="1"/>
  <c r="FC43" i="10" s="1"/>
  <c r="FD43" i="10" s="1"/>
  <c r="FE43" i="10" s="1"/>
  <c r="FF43" i="10" s="1"/>
  <c r="FG43" i="10" s="1"/>
  <c r="FH43" i="10" s="1"/>
  <c r="DR14" i="10"/>
  <c r="DS14" i="10" s="1"/>
  <c r="DK14" i="10"/>
  <c r="FD33" i="1"/>
  <c r="EV34" i="1"/>
  <c r="EP35" i="1"/>
  <c r="CU14" i="10"/>
  <c r="DU7" i="1" l="1"/>
  <c r="DV7" i="1" s="1"/>
  <c r="DY7" i="1" s="1"/>
  <c r="EA7" i="1" s="1"/>
  <c r="CZ7" i="1"/>
  <c r="DA7" i="1" s="1"/>
  <c r="DC7" i="1" s="1"/>
  <c r="C33" i="11" s="1"/>
  <c r="CB7" i="1"/>
  <c r="CH7" i="1" s="1"/>
  <c r="E33" i="11"/>
  <c r="CV14" i="10"/>
  <c r="DT14" i="10"/>
  <c r="BC14" i="10" s="1"/>
  <c r="DF15" i="10"/>
  <c r="BW14" i="10"/>
  <c r="BF14" i="10"/>
  <c r="DY16" i="10"/>
  <c r="FE33" i="1"/>
  <c r="EW34" i="1"/>
  <c r="EQ35" i="1"/>
  <c r="EF7" i="1" l="1"/>
  <c r="EG7" i="1" s="1"/>
  <c r="DM7" i="1" s="1"/>
  <c r="DW7" i="1"/>
  <c r="BD7" i="1" s="1"/>
  <c r="DH7" i="1"/>
  <c r="EI7" i="1" s="1"/>
  <c r="EM36" i="1" s="1"/>
  <c r="DG15" i="10"/>
  <c r="DH15" i="10" s="1"/>
  <c r="DV15" i="10"/>
  <c r="DW15" i="10" s="1"/>
  <c r="DA15" i="10"/>
  <c r="CC15" i="10"/>
  <c r="BB15" i="10"/>
  <c r="N22" i="10" s="1"/>
  <c r="EB16" i="10"/>
  <c r="CR7" i="1"/>
  <c r="CS7" i="1" s="1"/>
  <c r="CT7" i="1" s="1"/>
  <c r="CI7" i="1"/>
  <c r="CJ7" i="1" s="1"/>
  <c r="BC7" i="1"/>
  <c r="F23" i="1" s="1"/>
  <c r="BF7" i="1"/>
  <c r="F24" i="1" s="1"/>
  <c r="BA7" i="1"/>
  <c r="DN7" i="1"/>
  <c r="EX34" i="1"/>
  <c r="ER35" i="1"/>
  <c r="EQ57" i="1"/>
  <c r="EJ11" i="1" s="1"/>
  <c r="FF33" i="1"/>
  <c r="DI7" i="1" l="1"/>
  <c r="DK7" i="1" s="1"/>
  <c r="DO7" i="1" s="1"/>
  <c r="F22" i="1"/>
  <c r="F33" i="11"/>
  <c r="H33" i="11" s="1"/>
  <c r="CK7" i="1"/>
  <c r="DB15" i="10"/>
  <c r="DD15" i="10" s="1"/>
  <c r="EG15" i="10"/>
  <c r="EH15" i="10" s="1"/>
  <c r="DN15" i="10" s="1"/>
  <c r="DO15" i="10" s="1"/>
  <c r="DX15" i="10"/>
  <c r="BE15" i="10" s="1"/>
  <c r="BG16" i="10"/>
  <c r="O24" i="10" s="1"/>
  <c r="BD16" i="10"/>
  <c r="O23" i="10" s="1"/>
  <c r="CI15" i="10"/>
  <c r="CJ15" i="10" s="1"/>
  <c r="C33" i="7"/>
  <c r="ES35" i="1"/>
  <c r="EN36" i="1"/>
  <c r="EM58" i="1"/>
  <c r="EM59" i="1" s="1"/>
  <c r="EK8" i="1" s="1"/>
  <c r="BV7" i="1"/>
  <c r="BE7" i="1"/>
  <c r="DX9" i="1"/>
  <c r="FG33" i="1"/>
  <c r="EY34" i="1"/>
  <c r="CU7" i="1"/>
  <c r="CK15" i="10"/>
  <c r="DQ7" i="1" l="1"/>
  <c r="CL15" i="10"/>
  <c r="DE15" i="10"/>
  <c r="DJ15" i="10" s="1"/>
  <c r="CS15" i="10"/>
  <c r="CT15" i="10" s="1"/>
  <c r="EZ34" i="1"/>
  <c r="ET35" i="1"/>
  <c r="EO36" i="1"/>
  <c r="DJ7" i="1"/>
  <c r="DR7" i="1" l="1"/>
  <c r="DE8" i="1" s="1"/>
  <c r="G34" i="11"/>
  <c r="EJ15" i="10"/>
  <c r="EV44" i="10" s="1"/>
  <c r="EW44" i="10" s="1"/>
  <c r="EX44" i="10" s="1"/>
  <c r="EY44" i="10" s="1"/>
  <c r="EZ44" i="10" s="1"/>
  <c r="FA44" i="10" s="1"/>
  <c r="DL15" i="10"/>
  <c r="DP15" i="10" s="1"/>
  <c r="EU35" i="1"/>
  <c r="EP36" i="1"/>
  <c r="FA34" i="1"/>
  <c r="CU15" i="10"/>
  <c r="DS7" i="1" l="1"/>
  <c r="BB7" i="1" s="1"/>
  <c r="DF8" i="1"/>
  <c r="DG8" i="1" s="1"/>
  <c r="E34" i="11"/>
  <c r="CV15" i="10"/>
  <c r="EV58" i="10"/>
  <c r="EV59" i="10" s="1"/>
  <c r="EL16" i="10" s="1"/>
  <c r="DR15" i="10"/>
  <c r="DS15" i="10" s="1"/>
  <c r="DK15" i="10"/>
  <c r="FB44" i="10"/>
  <c r="FC44" i="10" s="1"/>
  <c r="FD44" i="10" s="1"/>
  <c r="FE44" i="10" s="1"/>
  <c r="FF44" i="10" s="1"/>
  <c r="FG44" i="10" s="1"/>
  <c r="FH44" i="10" s="1"/>
  <c r="FA57" i="10"/>
  <c r="EK20" i="10" s="1"/>
  <c r="BW15" i="10"/>
  <c r="BF15" i="10"/>
  <c r="DY17" i="10"/>
  <c r="EQ36" i="1"/>
  <c r="CB8" i="1"/>
  <c r="CZ8" i="1"/>
  <c r="DA8" i="1" s="1"/>
  <c r="DC8" i="1" s="1"/>
  <c r="C34" i="11" s="1"/>
  <c r="DU8" i="1"/>
  <c r="DV8" i="1" s="1"/>
  <c r="DY8" i="1" s="1"/>
  <c r="EA8" i="1" s="1"/>
  <c r="EV35" i="1"/>
  <c r="FB34" i="1"/>
  <c r="DF16" i="10" l="1"/>
  <c r="DT15" i="10"/>
  <c r="BC15" i="10" s="1"/>
  <c r="EB17" i="10"/>
  <c r="DH8" i="1"/>
  <c r="EI8" i="1" s="1"/>
  <c r="EN37" i="1" s="1"/>
  <c r="EO37" i="1" s="1"/>
  <c r="FC34" i="1"/>
  <c r="CH8" i="1"/>
  <c r="EF8" i="1"/>
  <c r="EG8" i="1" s="1"/>
  <c r="DM8" i="1" s="1"/>
  <c r="DW8" i="1"/>
  <c r="EW35" i="1"/>
  <c r="ER36" i="1"/>
  <c r="BD17" i="10" l="1"/>
  <c r="P23" i="10" s="1"/>
  <c r="BG17" i="10"/>
  <c r="P24" i="10" s="1"/>
  <c r="DV16" i="10"/>
  <c r="DW16" i="10" s="1"/>
  <c r="DA16" i="10"/>
  <c r="DB16" i="10" s="1"/>
  <c r="DD16" i="10" s="1"/>
  <c r="CC16" i="10"/>
  <c r="DG16" i="10"/>
  <c r="DH16" i="10" s="1"/>
  <c r="BB16" i="10"/>
  <c r="O22" i="10" s="1"/>
  <c r="CR8" i="1"/>
  <c r="CS8" i="1" s="1"/>
  <c r="CT8" i="1" s="1"/>
  <c r="CI8" i="1"/>
  <c r="CJ8" i="1" s="1"/>
  <c r="EN58" i="1"/>
  <c r="EN59" i="1" s="1"/>
  <c r="EK9" i="1" s="1"/>
  <c r="BD8" i="1"/>
  <c r="DI8" i="1"/>
  <c r="DK8" i="1" s="1"/>
  <c r="BC8" i="1"/>
  <c r="G23" i="1" s="1"/>
  <c r="BF8" i="1"/>
  <c r="G24" i="1" s="1"/>
  <c r="BA8" i="1"/>
  <c r="ES36" i="1"/>
  <c r="ER57" i="1"/>
  <c r="EJ12" i="1" s="1"/>
  <c r="EX35" i="1"/>
  <c r="DN8" i="1"/>
  <c r="EP37" i="1"/>
  <c r="FD34" i="1"/>
  <c r="G22" i="1" l="1"/>
  <c r="F34" i="11"/>
  <c r="H34" i="11" s="1"/>
  <c r="CK8" i="1"/>
  <c r="DE16" i="10"/>
  <c r="EJ16" i="10" s="1"/>
  <c r="EW45" i="10" s="1"/>
  <c r="EX45" i="10" s="1"/>
  <c r="EY45" i="10" s="1"/>
  <c r="EZ45" i="10" s="1"/>
  <c r="FA45" i="10" s="1"/>
  <c r="FB45" i="10" s="1"/>
  <c r="EG16" i="10"/>
  <c r="EH16" i="10" s="1"/>
  <c r="DN16" i="10" s="1"/>
  <c r="DO16" i="10" s="1"/>
  <c r="DX16" i="10"/>
  <c r="BE16" i="10" s="1"/>
  <c r="CI16" i="10"/>
  <c r="CJ16" i="10" s="1"/>
  <c r="CK16" i="10" s="1"/>
  <c r="C34" i="7"/>
  <c r="DO8" i="1"/>
  <c r="EY35" i="1"/>
  <c r="FE34" i="1"/>
  <c r="ET36" i="1"/>
  <c r="BV8" i="1"/>
  <c r="BE8" i="1"/>
  <c r="DX10" i="1"/>
  <c r="DJ8" i="1"/>
  <c r="EQ37" i="1"/>
  <c r="CU8" i="1"/>
  <c r="DQ8" i="1" l="1"/>
  <c r="CL16" i="10"/>
  <c r="EW58" i="10"/>
  <c r="EW59" i="10" s="1"/>
  <c r="EL17" i="10" s="1"/>
  <c r="DJ16" i="10"/>
  <c r="DL16" i="10" s="1"/>
  <c r="DP16" i="10" s="1"/>
  <c r="CS16" i="10"/>
  <c r="CT16" i="10" s="1"/>
  <c r="FC45" i="10"/>
  <c r="FD45" i="10" s="1"/>
  <c r="FE45" i="10" s="1"/>
  <c r="FF45" i="10" s="1"/>
  <c r="FG45" i="10" s="1"/>
  <c r="FH45" i="10" s="1"/>
  <c r="FB57" i="10"/>
  <c r="EK21" i="10" s="1"/>
  <c r="FF34" i="1"/>
  <c r="EU36" i="1"/>
  <c r="ER37" i="1"/>
  <c r="EZ35" i="1"/>
  <c r="DR8" i="1" l="1"/>
  <c r="G35" i="11"/>
  <c r="DR16" i="10"/>
  <c r="DS16" i="10" s="1"/>
  <c r="DK16" i="10"/>
  <c r="DS8" i="1"/>
  <c r="BB8" i="1" s="1"/>
  <c r="DE9" i="1"/>
  <c r="E35" i="11" s="1"/>
  <c r="EV36" i="1"/>
  <c r="FG34" i="1"/>
  <c r="ES37" i="1"/>
  <c r="FA35" i="1"/>
  <c r="CU16" i="10"/>
  <c r="DU9" i="1" l="1"/>
  <c r="DV9" i="1" s="1"/>
  <c r="DY9" i="1" s="1"/>
  <c r="EA9" i="1" s="1"/>
  <c r="DF9" i="1"/>
  <c r="DG9" i="1" s="1"/>
  <c r="CV16" i="10"/>
  <c r="DF17" i="10"/>
  <c r="DT16" i="10"/>
  <c r="BC16" i="10" s="1"/>
  <c r="BW16" i="10"/>
  <c r="BF16" i="10"/>
  <c r="DY18" i="10"/>
  <c r="CZ9" i="1"/>
  <c r="DA9" i="1" s="1"/>
  <c r="DC9" i="1" s="1"/>
  <c r="C35" i="11" s="1"/>
  <c r="CB9" i="1"/>
  <c r="CH9" i="1" s="1"/>
  <c r="FB35" i="1"/>
  <c r="ET37" i="1"/>
  <c r="ES57" i="1"/>
  <c r="EJ13" i="1" s="1"/>
  <c r="EW36" i="1"/>
  <c r="DW9" i="1" l="1"/>
  <c r="BD9" i="1" s="1"/>
  <c r="EF9" i="1"/>
  <c r="EG9" i="1" s="1"/>
  <c r="DM9" i="1" s="1"/>
  <c r="DN9" i="1" s="1"/>
  <c r="EB18" i="10"/>
  <c r="DV17" i="10"/>
  <c r="DW17" i="10" s="1"/>
  <c r="DA17" i="10"/>
  <c r="DB17" i="10" s="1"/>
  <c r="DD17" i="10" s="1"/>
  <c r="DG17" i="10"/>
  <c r="DH17" i="10" s="1"/>
  <c r="CC17" i="10"/>
  <c r="BB17" i="10"/>
  <c r="P22" i="10" s="1"/>
  <c r="DH9" i="1"/>
  <c r="EI9" i="1" s="1"/>
  <c r="EO38" i="1" s="1"/>
  <c r="CR9" i="1"/>
  <c r="CS9" i="1" s="1"/>
  <c r="CT9" i="1" s="1"/>
  <c r="CI9" i="1"/>
  <c r="CJ9" i="1" s="1"/>
  <c r="BF9" i="1"/>
  <c r="H24" i="1" s="1"/>
  <c r="BC9" i="1"/>
  <c r="H23" i="1" s="1"/>
  <c r="BA9" i="1"/>
  <c r="EU37" i="1"/>
  <c r="FC35" i="1"/>
  <c r="EX36" i="1"/>
  <c r="H22" i="1" l="1"/>
  <c r="F35" i="11"/>
  <c r="H35" i="11" s="1"/>
  <c r="CK9" i="1"/>
  <c r="DE17" i="10"/>
  <c r="EJ17" i="10" s="1"/>
  <c r="EX46" i="10" s="1"/>
  <c r="EY46" i="10" s="1"/>
  <c r="EZ46" i="10" s="1"/>
  <c r="FA46" i="10" s="1"/>
  <c r="FB46" i="10" s="1"/>
  <c r="FC46" i="10" s="1"/>
  <c r="CI17" i="10"/>
  <c r="CJ17" i="10" s="1"/>
  <c r="BG18" i="10"/>
  <c r="Q24" i="10" s="1"/>
  <c r="BD18" i="10"/>
  <c r="Q23" i="10" s="1"/>
  <c r="EG17" i="10"/>
  <c r="EH17" i="10" s="1"/>
  <c r="DN17" i="10" s="1"/>
  <c r="DO17" i="10" s="1"/>
  <c r="DX17" i="10"/>
  <c r="BE17" i="10" s="1"/>
  <c r="C35" i="7"/>
  <c r="DI9" i="1"/>
  <c r="DK9" i="1" s="1"/>
  <c r="DO9" i="1" s="1"/>
  <c r="EY36" i="1"/>
  <c r="BV9" i="1"/>
  <c r="BE9" i="1"/>
  <c r="DX11" i="1"/>
  <c r="EV37" i="1"/>
  <c r="EP38" i="1"/>
  <c r="EQ38" i="1" s="1"/>
  <c r="ER38" i="1" s="1"/>
  <c r="ES38" i="1" s="1"/>
  <c r="ET38" i="1" s="1"/>
  <c r="EO58" i="1"/>
  <c r="EO59" i="1" s="1"/>
  <c r="EK10" i="1" s="1"/>
  <c r="CU9" i="1"/>
  <c r="FD35" i="1"/>
  <c r="CK17" i="10"/>
  <c r="DQ9" i="1" l="1"/>
  <c r="CL17" i="10"/>
  <c r="EX58" i="10"/>
  <c r="EX59" i="10" s="1"/>
  <c r="EL18" i="10" s="1"/>
  <c r="DJ17" i="10"/>
  <c r="DL17" i="10" s="1"/>
  <c r="DP17" i="10" s="1"/>
  <c r="FD46" i="10"/>
  <c r="FE46" i="10" s="1"/>
  <c r="FF46" i="10" s="1"/>
  <c r="FG46" i="10" s="1"/>
  <c r="FH46" i="10" s="1"/>
  <c r="FC57" i="10"/>
  <c r="EK22" i="10" s="1"/>
  <c r="CS17" i="10"/>
  <c r="CT17" i="10" s="1"/>
  <c r="EU38" i="1"/>
  <c r="EV38" i="1" s="1"/>
  <c r="EW38" i="1" s="1"/>
  <c r="EX38" i="1" s="1"/>
  <c r="EY38" i="1" s="1"/>
  <c r="EZ38" i="1" s="1"/>
  <c r="FA38" i="1" s="1"/>
  <c r="FB38" i="1" s="1"/>
  <c r="FC38" i="1" s="1"/>
  <c r="FD38" i="1" s="1"/>
  <c r="FE38" i="1" s="1"/>
  <c r="FF38" i="1" s="1"/>
  <c r="FG38" i="1" s="1"/>
  <c r="ET57" i="1"/>
  <c r="EJ14" i="1" s="1"/>
  <c r="EW37" i="1"/>
  <c r="DJ9" i="1"/>
  <c r="FE35" i="1"/>
  <c r="EZ36" i="1"/>
  <c r="DR9" i="1" l="1"/>
  <c r="G36" i="11"/>
  <c r="DR17" i="10"/>
  <c r="DS17" i="10" s="1"/>
  <c r="DK17" i="10"/>
  <c r="DS9" i="1"/>
  <c r="BB9" i="1" s="1"/>
  <c r="DE10" i="1"/>
  <c r="FA36" i="1"/>
  <c r="FF35" i="1"/>
  <c r="EX37" i="1"/>
  <c r="CU17" i="10"/>
  <c r="DF10" i="1" l="1"/>
  <c r="DG10" i="1" s="1"/>
  <c r="E36" i="11"/>
  <c r="BW17" i="10"/>
  <c r="BF17" i="10"/>
  <c r="DY19" i="10"/>
  <c r="CV17" i="10"/>
  <c r="DF18" i="10"/>
  <c r="DT17" i="10"/>
  <c r="BC17" i="10" s="1"/>
  <c r="EY37" i="1"/>
  <c r="FG35" i="1"/>
  <c r="FB36" i="1"/>
  <c r="CZ10" i="1"/>
  <c r="DA10" i="1" s="1"/>
  <c r="DC10" i="1" s="1"/>
  <c r="C36" i="11" s="1"/>
  <c r="DU10" i="1"/>
  <c r="DV10" i="1" s="1"/>
  <c r="DY10" i="1" s="1"/>
  <c r="EA10" i="1" s="1"/>
  <c r="CB10" i="1"/>
  <c r="EB19" i="10" l="1"/>
  <c r="CC18" i="10"/>
  <c r="DV18" i="10"/>
  <c r="DW18" i="10" s="1"/>
  <c r="DG18" i="10"/>
  <c r="DH18" i="10" s="1"/>
  <c r="DA18" i="10"/>
  <c r="DB18" i="10" s="1"/>
  <c r="DD18" i="10" s="1"/>
  <c r="BB18" i="10"/>
  <c r="Q22" i="10" s="1"/>
  <c r="DH10" i="1"/>
  <c r="DY11" i="1"/>
  <c r="EA11" i="1" s="1"/>
  <c r="CH10" i="1"/>
  <c r="CI10" i="1" s="1"/>
  <c r="CJ10" i="1" s="1"/>
  <c r="EZ37" i="1"/>
  <c r="DW10" i="1"/>
  <c r="EF10" i="1"/>
  <c r="EG10" i="1" s="1"/>
  <c r="DM10" i="1" s="1"/>
  <c r="DN10" i="1" s="1"/>
  <c r="FC36" i="1"/>
  <c r="DE18" i="10" l="1"/>
  <c r="CK10" i="1"/>
  <c r="DX18" i="10"/>
  <c r="BE18" i="10" s="1"/>
  <c r="EG18" i="10"/>
  <c r="EH18" i="10" s="1"/>
  <c r="DN18" i="10" s="1"/>
  <c r="DO18" i="10" s="1"/>
  <c r="CI18" i="10"/>
  <c r="CJ18" i="10" s="1"/>
  <c r="CK18" i="10" s="1"/>
  <c r="BD19" i="10"/>
  <c r="R23" i="10" s="1"/>
  <c r="BG19" i="10"/>
  <c r="R24" i="10" s="1"/>
  <c r="BD10" i="1"/>
  <c r="EI10" i="1"/>
  <c r="EP39" i="1" s="1"/>
  <c r="DI10" i="1"/>
  <c r="DK10" i="1" s="1"/>
  <c r="DO10" i="1" s="1"/>
  <c r="DY12" i="1"/>
  <c r="DY13" i="1" s="1"/>
  <c r="DY14" i="1" s="1"/>
  <c r="DY15" i="1" s="1"/>
  <c r="DY16" i="1" s="1"/>
  <c r="DY17" i="1" s="1"/>
  <c r="DY18" i="1" s="1"/>
  <c r="DY19" i="1" s="1"/>
  <c r="DY20" i="1" s="1"/>
  <c r="DY21" i="1" s="1"/>
  <c r="DY22" i="1" s="1"/>
  <c r="BF10" i="1"/>
  <c r="I24" i="1" s="1"/>
  <c r="BC10" i="1"/>
  <c r="I23" i="1" s="1"/>
  <c r="BA10" i="1"/>
  <c r="FD36" i="1"/>
  <c r="FA37" i="1"/>
  <c r="CR10" i="1"/>
  <c r="CS10" i="1" s="1"/>
  <c r="CT10" i="1" s="1"/>
  <c r="I22" i="1" l="1"/>
  <c r="F36" i="11"/>
  <c r="H36" i="11" s="1"/>
  <c r="DQ10" i="1"/>
  <c r="CL18" i="10"/>
  <c r="CS18" i="10"/>
  <c r="CT18" i="10" s="1"/>
  <c r="EJ18" i="10"/>
  <c r="EY47" i="10" s="1"/>
  <c r="DJ18" i="10"/>
  <c r="C36" i="7"/>
  <c r="EQ39" i="1"/>
  <c r="ER39" i="1" s="1"/>
  <c r="ES39" i="1" s="1"/>
  <c r="ET39" i="1" s="1"/>
  <c r="EU39" i="1" s="1"/>
  <c r="EP58" i="1"/>
  <c r="EP59" i="1" s="1"/>
  <c r="EK11" i="1" s="1"/>
  <c r="BC11" i="1"/>
  <c r="J23" i="1" s="1"/>
  <c r="BF11" i="1"/>
  <c r="J24" i="1" s="1"/>
  <c r="FE36" i="1"/>
  <c r="DJ10" i="1"/>
  <c r="FB37" i="1"/>
  <c r="DR10" i="1" l="1"/>
  <c r="G37" i="11"/>
  <c r="DL18" i="10"/>
  <c r="DP18" i="10" s="1"/>
  <c r="EZ47" i="10"/>
  <c r="FA47" i="10" s="1"/>
  <c r="FB47" i="10" s="1"/>
  <c r="FC47" i="10" s="1"/>
  <c r="FD47" i="10" s="1"/>
  <c r="EY58" i="10"/>
  <c r="EY59" i="10" s="1"/>
  <c r="EL19" i="10" s="1"/>
  <c r="EV39" i="1"/>
  <c r="EW39" i="1" s="1"/>
  <c r="EX39" i="1" s="1"/>
  <c r="EY39" i="1" s="1"/>
  <c r="EZ39" i="1" s="1"/>
  <c r="FA39" i="1" s="1"/>
  <c r="FB39" i="1" s="1"/>
  <c r="FC39" i="1" s="1"/>
  <c r="FD39" i="1" s="1"/>
  <c r="FE39" i="1" s="1"/>
  <c r="FF39" i="1" s="1"/>
  <c r="FG39" i="1" s="1"/>
  <c r="EU57" i="1"/>
  <c r="EJ15" i="1" s="1"/>
  <c r="BV10" i="1"/>
  <c r="BE10" i="1"/>
  <c r="DX12" i="1"/>
  <c r="EA12" i="1" s="1"/>
  <c r="CU10" i="1"/>
  <c r="FF36" i="1"/>
  <c r="DS10" i="1"/>
  <c r="BB10" i="1" s="1"/>
  <c r="DE11" i="1"/>
  <c r="FC37" i="1"/>
  <c r="CU18" i="10"/>
  <c r="DF11" i="1" l="1"/>
  <c r="DG11" i="1" s="1"/>
  <c r="E37" i="11"/>
  <c r="CV18" i="10"/>
  <c r="FE47" i="10"/>
  <c r="FF47" i="10" s="1"/>
  <c r="FG47" i="10" s="1"/>
  <c r="FH47" i="10" s="1"/>
  <c r="FD57" i="10"/>
  <c r="EK23" i="10" s="1"/>
  <c r="DR18" i="10"/>
  <c r="DS18" i="10" s="1"/>
  <c r="BW18" i="10"/>
  <c r="BF18" i="10"/>
  <c r="DY20" i="10"/>
  <c r="DK18" i="10"/>
  <c r="FD37" i="1"/>
  <c r="CB11" i="1"/>
  <c r="DU11" i="1"/>
  <c r="DV11" i="1" s="1"/>
  <c r="CZ11" i="1"/>
  <c r="DA11" i="1" s="1"/>
  <c r="DC11" i="1" s="1"/>
  <c r="C37" i="11" s="1"/>
  <c r="BA11" i="1"/>
  <c r="FG36" i="1"/>
  <c r="J22" i="1" l="1"/>
  <c r="F37" i="11"/>
  <c r="H37" i="11" s="1"/>
  <c r="DF19" i="10"/>
  <c r="DT18" i="10"/>
  <c r="BC18" i="10" s="1"/>
  <c r="EB20" i="10"/>
  <c r="C37" i="7"/>
  <c r="DW11" i="1"/>
  <c r="BD11" i="1" s="1"/>
  <c r="EF11" i="1"/>
  <c r="EG11" i="1" s="1"/>
  <c r="DM11" i="1" s="1"/>
  <c r="DN11" i="1" s="1"/>
  <c r="FE37" i="1"/>
  <c r="CH11" i="1"/>
  <c r="CI11" i="1" s="1"/>
  <c r="CJ11" i="1" s="1"/>
  <c r="DH11" i="1"/>
  <c r="BC12" i="1"/>
  <c r="K23" i="1" s="1"/>
  <c r="BF12" i="1"/>
  <c r="K24" i="1" s="1"/>
  <c r="CK11" i="1" l="1"/>
  <c r="BD20" i="10"/>
  <c r="S23" i="10" s="1"/>
  <c r="BG20" i="10"/>
  <c r="S24" i="10" s="1"/>
  <c r="CC19" i="10"/>
  <c r="DV19" i="10"/>
  <c r="DW19" i="10" s="1"/>
  <c r="DA19" i="10"/>
  <c r="DB19" i="10" s="1"/>
  <c r="DD19" i="10" s="1"/>
  <c r="DG19" i="10"/>
  <c r="DH19" i="10" s="1"/>
  <c r="BB19" i="10"/>
  <c r="R22" i="10" s="1"/>
  <c r="CR11" i="1"/>
  <c r="CS11" i="1" s="1"/>
  <c r="CT11" i="1" s="1"/>
  <c r="EI11" i="1"/>
  <c r="EQ40" i="1" s="1"/>
  <c r="DI11" i="1"/>
  <c r="FF37" i="1"/>
  <c r="DE19" i="10" l="1"/>
  <c r="EJ19" i="10" s="1"/>
  <c r="EZ48" i="10" s="1"/>
  <c r="EG19" i="10"/>
  <c r="EH19" i="10" s="1"/>
  <c r="DN19" i="10" s="1"/>
  <c r="DO19" i="10" s="1"/>
  <c r="DX19" i="10"/>
  <c r="BE19" i="10" s="1"/>
  <c r="CI19" i="10"/>
  <c r="CJ19" i="10" s="1"/>
  <c r="CK19" i="10" s="1"/>
  <c r="DK11" i="1"/>
  <c r="DO11" i="1" s="1"/>
  <c r="ER40" i="1"/>
  <c r="ES40" i="1" s="1"/>
  <c r="ET40" i="1" s="1"/>
  <c r="EU40" i="1" s="1"/>
  <c r="EV40" i="1" s="1"/>
  <c r="EQ58" i="1"/>
  <c r="EQ59" i="1" s="1"/>
  <c r="EK12" i="1" s="1"/>
  <c r="BV11" i="1"/>
  <c r="BE11" i="1"/>
  <c r="DX13" i="1"/>
  <c r="EA13" i="1" s="1"/>
  <c r="FG37" i="1"/>
  <c r="CU11" i="1"/>
  <c r="DQ11" i="1" l="1"/>
  <c r="CL19" i="10"/>
  <c r="DJ19" i="10"/>
  <c r="DL19" i="10" s="1"/>
  <c r="DP19" i="10" s="1"/>
  <c r="FA48" i="10"/>
  <c r="FB48" i="10" s="1"/>
  <c r="FC48" i="10" s="1"/>
  <c r="FD48" i="10" s="1"/>
  <c r="FE48" i="10" s="1"/>
  <c r="FF48" i="10" s="1"/>
  <c r="FG48" i="10" s="1"/>
  <c r="FH48" i="10" s="1"/>
  <c r="EZ58" i="10"/>
  <c r="EZ59" i="10" s="1"/>
  <c r="EL20" i="10" s="1"/>
  <c r="CS19" i="10"/>
  <c r="CT19" i="10" s="1"/>
  <c r="CU19" i="10" s="1"/>
  <c r="EW40" i="1"/>
  <c r="EX40" i="1" s="1"/>
  <c r="EY40" i="1" s="1"/>
  <c r="EZ40" i="1" s="1"/>
  <c r="FA40" i="1" s="1"/>
  <c r="FB40" i="1" s="1"/>
  <c r="FC40" i="1" s="1"/>
  <c r="FD40" i="1" s="1"/>
  <c r="FE40" i="1" s="1"/>
  <c r="FF40" i="1" s="1"/>
  <c r="FG40" i="1" s="1"/>
  <c r="EV57" i="1"/>
  <c r="EJ16" i="1" s="1"/>
  <c r="DJ11" i="1"/>
  <c r="DR11" i="1" l="1"/>
  <c r="DE12" i="1" s="1"/>
  <c r="G38" i="11"/>
  <c r="FE57" i="10"/>
  <c r="EK24" i="10" s="1"/>
  <c r="DR19" i="10"/>
  <c r="DS19" i="10" s="1"/>
  <c r="BW19" i="10"/>
  <c r="BF19" i="10"/>
  <c r="DY21" i="10"/>
  <c r="DK19" i="10"/>
  <c r="CV19" i="10"/>
  <c r="DS11" i="1"/>
  <c r="BB11" i="1" s="1"/>
  <c r="BF13" i="1"/>
  <c r="L24" i="1" s="1"/>
  <c r="BC13" i="1"/>
  <c r="L23" i="1" s="1"/>
  <c r="DF12" i="1" l="1"/>
  <c r="DG12" i="1" s="1"/>
  <c r="E38" i="11"/>
  <c r="DT19" i="10"/>
  <c r="BC19" i="10" s="1"/>
  <c r="DF20" i="10"/>
  <c r="EB21" i="10"/>
  <c r="DU12" i="1"/>
  <c r="DV12" i="1" s="1"/>
  <c r="CB12" i="1"/>
  <c r="CZ12" i="1"/>
  <c r="DA12" i="1" s="1"/>
  <c r="DC12" i="1" s="1"/>
  <c r="C38" i="11" s="1"/>
  <c r="BA12" i="1"/>
  <c r="K22" i="1" l="1"/>
  <c r="F38" i="11"/>
  <c r="H38" i="11" s="1"/>
  <c r="BD21" i="10"/>
  <c r="T23" i="10" s="1"/>
  <c r="BG21" i="10"/>
  <c r="T24" i="10" s="1"/>
  <c r="DG20" i="10"/>
  <c r="DH20" i="10" s="1"/>
  <c r="CC20" i="10"/>
  <c r="DV20" i="10"/>
  <c r="DW20" i="10" s="1"/>
  <c r="DA20" i="10"/>
  <c r="DB20" i="10" s="1"/>
  <c r="DD20" i="10" s="1"/>
  <c r="BB20" i="10"/>
  <c r="S22" i="10" s="1"/>
  <c r="C38" i="7"/>
  <c r="DH12" i="1"/>
  <c r="CH12" i="1"/>
  <c r="CI12" i="1" s="1"/>
  <c r="CJ12" i="1" s="1"/>
  <c r="DW12" i="1"/>
  <c r="BD12" i="1" s="1"/>
  <c r="EF12" i="1"/>
  <c r="EG12" i="1" s="1"/>
  <c r="DM12" i="1" s="1"/>
  <c r="DN12" i="1" s="1"/>
  <c r="CK12" i="1" l="1"/>
  <c r="DE20" i="10"/>
  <c r="CI20" i="10"/>
  <c r="CJ20" i="10" s="1"/>
  <c r="CK20" i="10" s="1"/>
  <c r="EG20" i="10"/>
  <c r="EH20" i="10" s="1"/>
  <c r="DN20" i="10" s="1"/>
  <c r="DO20" i="10" s="1"/>
  <c r="DX20" i="10"/>
  <c r="BE20" i="10" s="1"/>
  <c r="CR12" i="1"/>
  <c r="CS12" i="1" s="1"/>
  <c r="CT12" i="1" s="1"/>
  <c r="EI12" i="1"/>
  <c r="ER41" i="1" s="1"/>
  <c r="DI12" i="1"/>
  <c r="CL20" i="10" l="1"/>
  <c r="CS20" i="10"/>
  <c r="CT20" i="10" s="1"/>
  <c r="EJ20" i="10"/>
  <c r="FA49" i="10" s="1"/>
  <c r="DJ20" i="10"/>
  <c r="DK12" i="1"/>
  <c r="DO12" i="1" s="1"/>
  <c r="ES41" i="1"/>
  <c r="ET41" i="1" s="1"/>
  <c r="EU41" i="1" s="1"/>
  <c r="EV41" i="1" s="1"/>
  <c r="EW41" i="1" s="1"/>
  <c r="ER58" i="1"/>
  <c r="ER59" i="1" s="1"/>
  <c r="EK13" i="1" s="1"/>
  <c r="DQ12" i="1" l="1"/>
  <c r="FB49" i="10"/>
  <c r="FC49" i="10" s="1"/>
  <c r="FD49" i="10" s="1"/>
  <c r="FE49" i="10" s="1"/>
  <c r="FF49" i="10" s="1"/>
  <c r="FA58" i="10"/>
  <c r="FA59" i="10" s="1"/>
  <c r="EL21" i="10" s="1"/>
  <c r="DL20" i="10"/>
  <c r="DP20" i="10" s="1"/>
  <c r="EX41" i="1"/>
  <c r="EY41" i="1" s="1"/>
  <c r="EZ41" i="1" s="1"/>
  <c r="FA41" i="1" s="1"/>
  <c r="FB41" i="1" s="1"/>
  <c r="FC41" i="1" s="1"/>
  <c r="FD41" i="1" s="1"/>
  <c r="FE41" i="1" s="1"/>
  <c r="FF41" i="1" s="1"/>
  <c r="FG41" i="1" s="1"/>
  <c r="EW57" i="1"/>
  <c r="EJ17" i="1" s="1"/>
  <c r="BV12" i="1"/>
  <c r="BE12" i="1"/>
  <c r="DX14" i="1"/>
  <c r="EA14" i="1" s="1"/>
  <c r="CU12" i="1"/>
  <c r="DJ12" i="1"/>
  <c r="CU20" i="10"/>
  <c r="DR12" i="1" l="1"/>
  <c r="DE13" i="1" s="1"/>
  <c r="G39" i="11"/>
  <c r="BW20" i="10"/>
  <c r="BF20" i="10"/>
  <c r="DY22" i="10"/>
  <c r="DR20" i="10"/>
  <c r="DS20" i="10" s="1"/>
  <c r="DK20" i="10"/>
  <c r="CV20" i="10"/>
  <c r="FG49" i="10"/>
  <c r="FH49" i="10" s="1"/>
  <c r="FF57" i="10"/>
  <c r="EK25" i="10" s="1"/>
  <c r="DF13" i="1" l="1"/>
  <c r="DG13" i="1" s="1"/>
  <c r="E39" i="11"/>
  <c r="DS12" i="1"/>
  <c r="BB12" i="1" s="1"/>
  <c r="EB22" i="10"/>
  <c r="DF21" i="10"/>
  <c r="DT20" i="10"/>
  <c r="BC20" i="10" s="1"/>
  <c r="DU13" i="1"/>
  <c r="DV13" i="1" s="1"/>
  <c r="CB13" i="1"/>
  <c r="CZ13" i="1"/>
  <c r="DA13" i="1" s="1"/>
  <c r="DC13" i="1" s="1"/>
  <c r="C39" i="11" s="1"/>
  <c r="BA13" i="1"/>
  <c r="BC14" i="1"/>
  <c r="M23" i="1" s="1"/>
  <c r="BF14" i="1"/>
  <c r="M24" i="1" s="1"/>
  <c r="L22" i="1" l="1"/>
  <c r="F39" i="11"/>
  <c r="H39" i="11" s="1"/>
  <c r="BG22" i="10"/>
  <c r="U24" i="10" s="1"/>
  <c r="BD22" i="10"/>
  <c r="U23" i="10" s="1"/>
  <c r="DG21" i="10"/>
  <c r="DH21" i="10" s="1"/>
  <c r="DV21" i="10"/>
  <c r="DW21" i="10" s="1"/>
  <c r="DA21" i="10"/>
  <c r="DB21" i="10" s="1"/>
  <c r="DD21" i="10" s="1"/>
  <c r="CC21" i="10"/>
  <c r="BB21" i="10"/>
  <c r="C39" i="7"/>
  <c r="CH13" i="1"/>
  <c r="CI13" i="1" s="1"/>
  <c r="CJ13" i="1" s="1"/>
  <c r="DW13" i="1"/>
  <c r="BD13" i="1" s="1"/>
  <c r="EF13" i="1"/>
  <c r="EG13" i="1" s="1"/>
  <c r="DM13" i="1" s="1"/>
  <c r="DN13" i="1" s="1"/>
  <c r="DH13" i="1"/>
  <c r="CK13" i="1" l="1"/>
  <c r="DE21" i="10"/>
  <c r="DX21" i="10"/>
  <c r="EG21" i="10"/>
  <c r="EH21" i="10" s="1"/>
  <c r="DN21" i="10" s="1"/>
  <c r="DO21" i="10" s="1"/>
  <c r="AZ55" i="10"/>
  <c r="T22" i="10"/>
  <c r="AW24" i="10"/>
  <c r="CI21" i="10"/>
  <c r="CJ21" i="10" s="1"/>
  <c r="CK21" i="10" s="1"/>
  <c r="EI13" i="1"/>
  <c r="ES42" i="1" s="1"/>
  <c r="DI13" i="1"/>
  <c r="CR13" i="1"/>
  <c r="CS13" i="1" s="1"/>
  <c r="CT13" i="1" s="1"/>
  <c r="CL21" i="10" l="1"/>
  <c r="EJ21" i="10"/>
  <c r="FB50" i="10" s="1"/>
  <c r="DJ21" i="10"/>
  <c r="CS21" i="10"/>
  <c r="CT21" i="10" s="1"/>
  <c r="EA28" i="10"/>
  <c r="EA27" i="10"/>
  <c r="EA24" i="10"/>
  <c r="EA26" i="10"/>
  <c r="EA25" i="10"/>
  <c r="BE21" i="10"/>
  <c r="DK13" i="1"/>
  <c r="DO13" i="1" s="1"/>
  <c r="ET42" i="1"/>
  <c r="EU42" i="1" s="1"/>
  <c r="EV42" i="1" s="1"/>
  <c r="EW42" i="1" s="1"/>
  <c r="EX42" i="1" s="1"/>
  <c r="ES58" i="1"/>
  <c r="ES59" i="1" s="1"/>
  <c r="EK14" i="1" s="1"/>
  <c r="DQ13" i="1" l="1"/>
  <c r="DL21" i="10"/>
  <c r="DP21" i="10" s="1"/>
  <c r="FC50" i="10"/>
  <c r="FD50" i="10" s="1"/>
  <c r="FE50" i="10" s="1"/>
  <c r="FF50" i="10" s="1"/>
  <c r="FG50" i="10" s="1"/>
  <c r="FB58" i="10"/>
  <c r="FB59" i="10" s="1"/>
  <c r="EL22" i="10" s="1"/>
  <c r="DJ13" i="1"/>
  <c r="BV13" i="1"/>
  <c r="BE13" i="1"/>
  <c r="DX15" i="1"/>
  <c r="EA15" i="1" s="1"/>
  <c r="EY42" i="1"/>
  <c r="EZ42" i="1" s="1"/>
  <c r="FA42" i="1" s="1"/>
  <c r="FB42" i="1" s="1"/>
  <c r="FC42" i="1" s="1"/>
  <c r="FD42" i="1" s="1"/>
  <c r="FE42" i="1" s="1"/>
  <c r="FF42" i="1" s="1"/>
  <c r="FG42" i="1" s="1"/>
  <c r="EX57" i="1"/>
  <c r="EJ18" i="1" s="1"/>
  <c r="CU13" i="1"/>
  <c r="CU21" i="10"/>
  <c r="DR13" i="1" l="1"/>
  <c r="DE14" i="1" s="1"/>
  <c r="G40" i="11"/>
  <c r="CV21" i="10"/>
  <c r="DR21" i="10"/>
  <c r="DS21" i="10" s="1"/>
  <c r="DK21" i="10"/>
  <c r="FH50" i="10"/>
  <c r="FG57" i="10"/>
  <c r="EK26" i="10" s="1"/>
  <c r="BW21" i="10"/>
  <c r="BF21" i="10"/>
  <c r="DY23" i="10"/>
  <c r="DF14" i="1" l="1"/>
  <c r="DG14" i="1" s="1"/>
  <c r="E40" i="11"/>
  <c r="DS13" i="1"/>
  <c r="BB13" i="1" s="1"/>
  <c r="DF22" i="10"/>
  <c r="DT21" i="10"/>
  <c r="BC21" i="10" s="1"/>
  <c r="EB23" i="10"/>
  <c r="CB14" i="1"/>
  <c r="CZ14" i="1"/>
  <c r="DA14" i="1" s="1"/>
  <c r="DC14" i="1" s="1"/>
  <c r="C40" i="11" s="1"/>
  <c r="DU14" i="1"/>
  <c r="DV14" i="1" s="1"/>
  <c r="BA14" i="1"/>
  <c r="BF15" i="1"/>
  <c r="N24" i="1" s="1"/>
  <c r="BC15" i="1"/>
  <c r="N23" i="1" s="1"/>
  <c r="M22" i="1" l="1"/>
  <c r="F40" i="11"/>
  <c r="H40" i="11" s="1"/>
  <c r="BG23" i="10"/>
  <c r="V24" i="10" s="1"/>
  <c r="BD23" i="10"/>
  <c r="V23" i="10" s="1"/>
  <c r="DV22" i="10"/>
  <c r="DW22" i="10" s="1"/>
  <c r="DA22" i="10"/>
  <c r="DB22" i="10" s="1"/>
  <c r="DD22" i="10" s="1"/>
  <c r="CC22" i="10"/>
  <c r="DG22" i="10"/>
  <c r="DH22" i="10" s="1"/>
  <c r="BB22" i="10"/>
  <c r="U22" i="10" s="1"/>
  <c r="C40" i="7"/>
  <c r="DW14" i="1"/>
  <c r="BD14" i="1" s="1"/>
  <c r="EF14" i="1"/>
  <c r="EG14" i="1" s="1"/>
  <c r="DM14" i="1" s="1"/>
  <c r="DN14" i="1" s="1"/>
  <c r="CH14" i="1"/>
  <c r="CI14" i="1" s="1"/>
  <c r="CJ14" i="1" s="1"/>
  <c r="DH14" i="1"/>
  <c r="CK14" i="1" l="1"/>
  <c r="DE22" i="10"/>
  <c r="EJ22" i="10" s="1"/>
  <c r="FC51" i="10" s="1"/>
  <c r="FC58" i="10" s="1"/>
  <c r="FC59" i="10" s="1"/>
  <c r="EL23" i="10" s="1"/>
  <c r="EG22" i="10"/>
  <c r="EH22" i="10" s="1"/>
  <c r="DN22" i="10" s="1"/>
  <c r="DO22" i="10" s="1"/>
  <c r="DX22" i="10"/>
  <c r="BE22" i="10" s="1"/>
  <c r="CI22" i="10"/>
  <c r="CS22" i="10" s="1"/>
  <c r="CT22" i="10" s="1"/>
  <c r="CR14" i="1"/>
  <c r="CS14" i="1" s="1"/>
  <c r="CT14" i="1" s="1"/>
  <c r="EI14" i="1"/>
  <c r="ET43" i="1" s="1"/>
  <c r="DI14" i="1"/>
  <c r="FD51" i="10" l="1"/>
  <c r="FE51" i="10" s="1"/>
  <c r="FF51" i="10" s="1"/>
  <c r="FG51" i="10" s="1"/>
  <c r="FH51" i="10" s="1"/>
  <c r="FH57" i="10" s="1"/>
  <c r="EK27" i="10" s="1"/>
  <c r="DJ22" i="10"/>
  <c r="DL22" i="10" s="1"/>
  <c r="DK22" i="10" s="1"/>
  <c r="EU43" i="1"/>
  <c r="EV43" i="1" s="1"/>
  <c r="EW43" i="1" s="1"/>
  <c r="EX43" i="1" s="1"/>
  <c r="EY43" i="1" s="1"/>
  <c r="ET58" i="1"/>
  <c r="ET59" i="1" s="1"/>
  <c r="EK15" i="1" s="1"/>
  <c r="DK14" i="1"/>
  <c r="DO14" i="1" s="1"/>
  <c r="BV14" i="1"/>
  <c r="BE14" i="1"/>
  <c r="DX16" i="1"/>
  <c r="EA16" i="1" s="1"/>
  <c r="CU14" i="1"/>
  <c r="CU22" i="10"/>
  <c r="DQ14" i="1" l="1"/>
  <c r="DP22" i="10"/>
  <c r="DR22" i="10" s="1"/>
  <c r="DS22" i="10" s="1"/>
  <c r="EK28" i="10"/>
  <c r="BW22" i="10"/>
  <c r="BF22" i="10"/>
  <c r="DY24" i="10"/>
  <c r="CV22" i="10"/>
  <c r="DJ14" i="1"/>
  <c r="EZ43" i="1"/>
  <c r="FA43" i="1" s="1"/>
  <c r="FB43" i="1" s="1"/>
  <c r="FC43" i="1" s="1"/>
  <c r="FD43" i="1" s="1"/>
  <c r="FE43" i="1" s="1"/>
  <c r="FF43" i="1" s="1"/>
  <c r="FG43" i="1" s="1"/>
  <c r="EY57" i="1"/>
  <c r="EJ19" i="1" s="1"/>
  <c r="DR14" i="1" l="1"/>
  <c r="DE15" i="1" s="1"/>
  <c r="G41" i="11"/>
  <c r="DF23" i="10"/>
  <c r="DT22" i="10"/>
  <c r="BC22" i="10" s="1"/>
  <c r="BC16" i="1"/>
  <c r="O23" i="1" s="1"/>
  <c r="BF16" i="1"/>
  <c r="O24" i="1" s="1"/>
  <c r="DS14" i="1" l="1"/>
  <c r="BB14" i="1" s="1"/>
  <c r="DF15" i="1"/>
  <c r="DG15" i="1" s="1"/>
  <c r="E41" i="11"/>
  <c r="DV23" i="10"/>
  <c r="DW23" i="10" s="1"/>
  <c r="DA23" i="10"/>
  <c r="DB23" i="10" s="1"/>
  <c r="DD23" i="10" s="1"/>
  <c r="CC23" i="10"/>
  <c r="DG23" i="10"/>
  <c r="DH23" i="10" s="1"/>
  <c r="BB23" i="10"/>
  <c r="V22" i="10" s="1"/>
  <c r="CZ15" i="1"/>
  <c r="DA15" i="1" s="1"/>
  <c r="DC15" i="1" s="1"/>
  <c r="C41" i="11" s="1"/>
  <c r="DU15" i="1"/>
  <c r="DV15" i="1" s="1"/>
  <c r="CB15" i="1"/>
  <c r="BA15" i="1"/>
  <c r="N22" i="1" l="1"/>
  <c r="F41" i="11"/>
  <c r="H41" i="11" s="1"/>
  <c r="DE23" i="10"/>
  <c r="EJ23" i="10" s="1"/>
  <c r="FD52" i="10" s="1"/>
  <c r="FE52" i="10" s="1"/>
  <c r="FF52" i="10" s="1"/>
  <c r="FG52" i="10" s="1"/>
  <c r="FH52" i="10" s="1"/>
  <c r="EG23" i="10"/>
  <c r="EH23" i="10" s="1"/>
  <c r="DN23" i="10" s="1"/>
  <c r="DO23" i="10" s="1"/>
  <c r="DX23" i="10"/>
  <c r="BE23" i="10" s="1"/>
  <c r="CI23" i="10"/>
  <c r="CS23" i="10" s="1"/>
  <c r="CT23" i="10" s="1"/>
  <c r="C41" i="7"/>
  <c r="DH15" i="1"/>
  <c r="EI15" i="1" s="1"/>
  <c r="EU44" i="1" s="1"/>
  <c r="EV44" i="1" s="1"/>
  <c r="EW44" i="1" s="1"/>
  <c r="EX44" i="1" s="1"/>
  <c r="EY44" i="1" s="1"/>
  <c r="EZ44" i="1" s="1"/>
  <c r="CH15" i="1"/>
  <c r="CI15" i="1" s="1"/>
  <c r="CJ15" i="1" s="1"/>
  <c r="DW15" i="1"/>
  <c r="BD15" i="1" s="1"/>
  <c r="EF15" i="1"/>
  <c r="EG15" i="1" s="1"/>
  <c r="DM15" i="1" s="1"/>
  <c r="DN15" i="1" s="1"/>
  <c r="CK15" i="1" l="1"/>
  <c r="FD58" i="10"/>
  <c r="FD59" i="10" s="1"/>
  <c r="EL24" i="10" s="1"/>
  <c r="DJ23" i="10"/>
  <c r="DL23" i="10" s="1"/>
  <c r="DP23" i="10" s="1"/>
  <c r="DI15" i="1"/>
  <c r="DK15" i="1" s="1"/>
  <c r="DO15" i="1" s="1"/>
  <c r="EU58" i="1"/>
  <c r="EU59" i="1" s="1"/>
  <c r="EK16" i="1" s="1"/>
  <c r="CR15" i="1"/>
  <c r="CS15" i="1" s="1"/>
  <c r="CT15" i="1" s="1"/>
  <c r="FA44" i="1"/>
  <c r="FB44" i="1" s="1"/>
  <c r="FC44" i="1" s="1"/>
  <c r="FD44" i="1" s="1"/>
  <c r="FE44" i="1" s="1"/>
  <c r="FF44" i="1" s="1"/>
  <c r="FG44" i="1" s="1"/>
  <c r="EZ57" i="1"/>
  <c r="EJ20" i="1" s="1"/>
  <c r="CU23" i="10"/>
  <c r="DQ15" i="1" l="1"/>
  <c r="DY25" i="10"/>
  <c r="DK23" i="10"/>
  <c r="BW23" i="10"/>
  <c r="BF23" i="10"/>
  <c r="DR23" i="10"/>
  <c r="DS23" i="10" s="1"/>
  <c r="CV23" i="10"/>
  <c r="DJ15" i="1"/>
  <c r="DR15" i="1" l="1"/>
  <c r="DE16" i="1" s="1"/>
  <c r="G42" i="11"/>
  <c r="DF24" i="10"/>
  <c r="DT23" i="10"/>
  <c r="BC23" i="10" s="1"/>
  <c r="BV15" i="1"/>
  <c r="BE15" i="1"/>
  <c r="DX17" i="1"/>
  <c r="EA17" i="1" s="1"/>
  <c r="DS15" i="1"/>
  <c r="BB15" i="1" s="1"/>
  <c r="CU15" i="1"/>
  <c r="DF16" i="1" l="1"/>
  <c r="DG16" i="1" s="1"/>
  <c r="E42" i="11"/>
  <c r="CC24" i="10"/>
  <c r="DV24" i="10"/>
  <c r="DW24" i="10" s="1"/>
  <c r="DA24" i="10"/>
  <c r="DB24" i="10" s="1"/>
  <c r="DD24" i="10" s="1"/>
  <c r="DG24" i="10"/>
  <c r="DH24" i="10" s="1"/>
  <c r="CZ16" i="1"/>
  <c r="DA16" i="1" s="1"/>
  <c r="DC16" i="1" s="1"/>
  <c r="C42" i="11" s="1"/>
  <c r="DU16" i="1"/>
  <c r="DV16" i="1" s="1"/>
  <c r="CB16" i="1"/>
  <c r="BA16" i="1"/>
  <c r="O22" i="1" l="1"/>
  <c r="F42" i="11"/>
  <c r="H42" i="11" s="1"/>
  <c r="DE24" i="10"/>
  <c r="DX24" i="10"/>
  <c r="EG24" i="10"/>
  <c r="EH24" i="10" s="1"/>
  <c r="DN24" i="10" s="1"/>
  <c r="DO24" i="10" s="1"/>
  <c r="DZ24" i="10"/>
  <c r="CI24" i="10"/>
  <c r="CS24" i="10" s="1"/>
  <c r="CT24" i="10" s="1"/>
  <c r="C42" i="7"/>
  <c r="DH16" i="1"/>
  <c r="CH16" i="1"/>
  <c r="CI16" i="1" s="1"/>
  <c r="CJ16" i="1" s="1"/>
  <c r="EF16" i="1"/>
  <c r="EG16" i="1" s="1"/>
  <c r="DM16" i="1" s="1"/>
  <c r="DN16" i="1" s="1"/>
  <c r="DW16" i="1"/>
  <c r="BD16" i="1" s="1"/>
  <c r="BC17" i="1"/>
  <c r="P23" i="1" s="1"/>
  <c r="BF17" i="1"/>
  <c r="P24" i="1" s="1"/>
  <c r="CK16" i="1" l="1"/>
  <c r="EB24" i="10"/>
  <c r="EJ24" i="10"/>
  <c r="FE53" i="10" s="1"/>
  <c r="DJ24" i="10"/>
  <c r="CR16" i="1"/>
  <c r="CS16" i="1" s="1"/>
  <c r="CT16" i="1" s="1"/>
  <c r="EI16" i="1"/>
  <c r="EV45" i="1" s="1"/>
  <c r="DI16" i="1"/>
  <c r="CU24" i="10"/>
  <c r="BW24" i="10" l="1"/>
  <c r="DY26" i="10"/>
  <c r="BE24" i="10"/>
  <c r="BF24" i="10"/>
  <c r="BB24" i="10"/>
  <c r="W22" i="10" s="1"/>
  <c r="BG24" i="10"/>
  <c r="W24" i="10" s="1"/>
  <c r="BD24" i="10"/>
  <c r="W23" i="10" s="1"/>
  <c r="DL24" i="10"/>
  <c r="DP24" i="10" s="1"/>
  <c r="FF53" i="10"/>
  <c r="FG53" i="10" s="1"/>
  <c r="FH53" i="10" s="1"/>
  <c r="FE58" i="10"/>
  <c r="FE59" i="10" s="1"/>
  <c r="EL25" i="10" s="1"/>
  <c r="CV24" i="10"/>
  <c r="DK16" i="1"/>
  <c r="DO16" i="1" s="1"/>
  <c r="EW45" i="1"/>
  <c r="EX45" i="1" s="1"/>
  <c r="EY45" i="1" s="1"/>
  <c r="EZ45" i="1" s="1"/>
  <c r="FA45" i="1" s="1"/>
  <c r="EV58" i="1"/>
  <c r="EV59" i="1" s="1"/>
  <c r="EK17" i="1" s="1"/>
  <c r="DQ16" i="1" l="1"/>
  <c r="CU16" i="1"/>
  <c r="BV16" i="1"/>
  <c r="DR24" i="10"/>
  <c r="DS24" i="10" s="1"/>
  <c r="DK24" i="10"/>
  <c r="DX18" i="1"/>
  <c r="EA18" i="1" s="1"/>
  <c r="BE16" i="1"/>
  <c r="FB45" i="1"/>
  <c r="FC45" i="1" s="1"/>
  <c r="FD45" i="1" s="1"/>
  <c r="FE45" i="1" s="1"/>
  <c r="FF45" i="1" s="1"/>
  <c r="FG45" i="1" s="1"/>
  <c r="FA57" i="1"/>
  <c r="EJ21" i="1" s="1"/>
  <c r="DJ16" i="1"/>
  <c r="DR16" i="1" l="1"/>
  <c r="DE17" i="1" s="1"/>
  <c r="G43" i="11"/>
  <c r="DF25" i="10"/>
  <c r="DT24" i="10"/>
  <c r="BC24" i="10" s="1"/>
  <c r="DS16" i="1"/>
  <c r="BB16" i="1" s="1"/>
  <c r="BC18" i="1"/>
  <c r="Q23" i="1" s="1"/>
  <c r="BF18" i="1"/>
  <c r="Q24" i="1" s="1"/>
  <c r="DF17" i="1" l="1"/>
  <c r="DG17" i="1" s="1"/>
  <c r="E43" i="11"/>
  <c r="DV25" i="10"/>
  <c r="DW25" i="10" s="1"/>
  <c r="DZ25" i="10" s="1"/>
  <c r="DA25" i="10"/>
  <c r="DB25" i="10" s="1"/>
  <c r="DD25" i="10" s="1"/>
  <c r="CC25" i="10"/>
  <c r="DG25" i="10"/>
  <c r="DH25" i="10" s="1"/>
  <c r="CZ17" i="1"/>
  <c r="DA17" i="1" s="1"/>
  <c r="DC17" i="1" s="1"/>
  <c r="C43" i="11" s="1"/>
  <c r="CB17" i="1"/>
  <c r="DU17" i="1"/>
  <c r="DV17" i="1" s="1"/>
  <c r="BA17" i="1"/>
  <c r="P22" i="1" l="1"/>
  <c r="F43" i="11"/>
  <c r="H43" i="11" s="1"/>
  <c r="DE25" i="10"/>
  <c r="EJ25" i="10" s="1"/>
  <c r="FF54" i="10" s="1"/>
  <c r="FG54" i="10" s="1"/>
  <c r="FH54" i="10" s="1"/>
  <c r="EB25" i="10"/>
  <c r="CI25" i="10"/>
  <c r="CS25" i="10" s="1"/>
  <c r="CT25" i="10" s="1"/>
  <c r="DX25" i="10"/>
  <c r="EG25" i="10"/>
  <c r="EH25" i="10" s="1"/>
  <c r="DN25" i="10" s="1"/>
  <c r="DO25" i="10" s="1"/>
  <c r="C43" i="7"/>
  <c r="DW17" i="1"/>
  <c r="BD17" i="1" s="1"/>
  <c r="EF17" i="1"/>
  <c r="EG17" i="1" s="1"/>
  <c r="DM17" i="1" s="1"/>
  <c r="DN17" i="1" s="1"/>
  <c r="CH17" i="1"/>
  <c r="CI17" i="1" s="1"/>
  <c r="CJ17" i="1" s="1"/>
  <c r="DH17" i="1"/>
  <c r="CK17" i="1" l="1"/>
  <c r="FF58" i="10"/>
  <c r="FF59" i="10" s="1"/>
  <c r="EL26" i="10" s="1"/>
  <c r="BB25" i="10"/>
  <c r="BE25" i="10"/>
  <c r="BD25" i="10"/>
  <c r="X23" i="10" s="1"/>
  <c r="BF25" i="10"/>
  <c r="BG25" i="10"/>
  <c r="X24" i="10" s="1"/>
  <c r="DJ25" i="10"/>
  <c r="DL25" i="10" s="1"/>
  <c r="DP25" i="10" s="1"/>
  <c r="CR17" i="1"/>
  <c r="CS17" i="1" s="1"/>
  <c r="CT17" i="1" s="1"/>
  <c r="EI17" i="1"/>
  <c r="EW46" i="1" s="1"/>
  <c r="DI17" i="1"/>
  <c r="CU25" i="10"/>
  <c r="BW25" i="10" l="1"/>
  <c r="DY27" i="10"/>
  <c r="X22" i="10"/>
  <c r="DK25" i="10"/>
  <c r="DR25" i="10"/>
  <c r="DS25" i="10" s="1"/>
  <c r="CV25" i="10"/>
  <c r="DK17" i="1"/>
  <c r="DO17" i="1" s="1"/>
  <c r="EX46" i="1"/>
  <c r="EY46" i="1" s="1"/>
  <c r="EZ46" i="1" s="1"/>
  <c r="FA46" i="1" s="1"/>
  <c r="FB46" i="1" s="1"/>
  <c r="EW58" i="1"/>
  <c r="EW59" i="1" s="1"/>
  <c r="EK18" i="1" s="1"/>
  <c r="CU17" i="1"/>
  <c r="DQ17" i="1" l="1"/>
  <c r="DF26" i="10"/>
  <c r="DT25" i="10"/>
  <c r="BC25" i="10" s="1"/>
  <c r="FC46" i="1"/>
  <c r="FD46" i="1" s="1"/>
  <c r="FE46" i="1" s="1"/>
  <c r="FF46" i="1" s="1"/>
  <c r="FG46" i="1" s="1"/>
  <c r="FB57" i="1"/>
  <c r="EJ22" i="1" s="1"/>
  <c r="BV17" i="1"/>
  <c r="BE17" i="1"/>
  <c r="DX19" i="1"/>
  <c r="EA19" i="1" s="1"/>
  <c r="DJ17" i="1"/>
  <c r="DR17" i="1" l="1"/>
  <c r="DE18" i="1" s="1"/>
  <c r="G44" i="11"/>
  <c r="CC26" i="10"/>
  <c r="DV26" i="10"/>
  <c r="DW26" i="10" s="1"/>
  <c r="DZ26" i="10" s="1"/>
  <c r="DA26" i="10"/>
  <c r="DB26" i="10" s="1"/>
  <c r="DD26" i="10" s="1"/>
  <c r="DG26" i="10"/>
  <c r="DH26" i="10" s="1"/>
  <c r="DF18" i="1" l="1"/>
  <c r="E44" i="11"/>
  <c r="DS17" i="1"/>
  <c r="BB17" i="1" s="1"/>
  <c r="DE26" i="10"/>
  <c r="EB26" i="10"/>
  <c r="DX26" i="10"/>
  <c r="EG26" i="10"/>
  <c r="EH26" i="10" s="1"/>
  <c r="DN26" i="10" s="1"/>
  <c r="DO26" i="10" s="1"/>
  <c r="CI26" i="10"/>
  <c r="CS26" i="10" s="1"/>
  <c r="CT26" i="10" s="1"/>
  <c r="CZ18" i="1"/>
  <c r="DA18" i="1" s="1"/>
  <c r="DC18" i="1" s="1"/>
  <c r="C44" i="11" s="1"/>
  <c r="CB18" i="1"/>
  <c r="DG18" i="1"/>
  <c r="DU18" i="1"/>
  <c r="DV18" i="1" s="1"/>
  <c r="BA18" i="1"/>
  <c r="BF19" i="1"/>
  <c r="R24" i="1" s="1"/>
  <c r="BC19" i="1"/>
  <c r="R23" i="1" s="1"/>
  <c r="Q22" i="1" l="1"/>
  <c r="F44" i="11"/>
  <c r="H44" i="11" s="1"/>
  <c r="BG26" i="10"/>
  <c r="Y24" i="10" s="1"/>
  <c r="BF26" i="10"/>
  <c r="BD26" i="10"/>
  <c r="Y23" i="10" s="1"/>
  <c r="Z23" i="10" s="1"/>
  <c r="BE26" i="10"/>
  <c r="BB26" i="10"/>
  <c r="EJ26" i="10"/>
  <c r="FG55" i="10" s="1"/>
  <c r="DJ26" i="10"/>
  <c r="C44" i="7"/>
  <c r="DH18" i="1"/>
  <c r="EI18" i="1" s="1"/>
  <c r="EX47" i="1" s="1"/>
  <c r="EY47" i="1" s="1"/>
  <c r="EZ47" i="1" s="1"/>
  <c r="FA47" i="1" s="1"/>
  <c r="FB47" i="1" s="1"/>
  <c r="FC47" i="1" s="1"/>
  <c r="DW18" i="1"/>
  <c r="BD18" i="1" s="1"/>
  <c r="EF18" i="1"/>
  <c r="EG18" i="1" s="1"/>
  <c r="DM18" i="1" s="1"/>
  <c r="DN18" i="1" s="1"/>
  <c r="CH18" i="1"/>
  <c r="CI18" i="1" s="1"/>
  <c r="CJ18" i="1" s="1"/>
  <c r="CU26" i="10"/>
  <c r="CK18" i="1" l="1"/>
  <c r="BW26" i="10"/>
  <c r="DY28" i="10"/>
  <c r="Y22" i="10"/>
  <c r="DL26" i="10"/>
  <c r="DP26" i="10" s="1"/>
  <c r="FH55" i="10"/>
  <c r="FG58" i="10"/>
  <c r="FG59" i="10" s="1"/>
  <c r="CV26" i="10"/>
  <c r="DI18" i="1"/>
  <c r="DK18" i="1" s="1"/>
  <c r="DO18" i="1" s="1"/>
  <c r="EX58" i="1"/>
  <c r="EX59" i="1" s="1"/>
  <c r="EK19" i="1" s="1"/>
  <c r="FD47" i="1"/>
  <c r="FE47" i="1" s="1"/>
  <c r="FF47" i="1" s="1"/>
  <c r="FG47" i="1" s="1"/>
  <c r="FC57" i="1"/>
  <c r="EJ23" i="1" s="1"/>
  <c r="CR18" i="1"/>
  <c r="CS18" i="1" s="1"/>
  <c r="CT18" i="1" s="1"/>
  <c r="DQ18" i="1" l="1"/>
  <c r="EL28" i="10"/>
  <c r="EL27" i="10"/>
  <c r="DK26" i="10"/>
  <c r="DR26" i="10"/>
  <c r="DS26" i="10" s="1"/>
  <c r="DJ18" i="1"/>
  <c r="CU18" i="1"/>
  <c r="DR18" i="1" l="1"/>
  <c r="DE19" i="1" s="1"/>
  <c r="G45" i="11"/>
  <c r="DF27" i="10"/>
  <c r="DT26" i="10"/>
  <c r="BC26" i="10" s="1"/>
  <c r="DS18" i="1"/>
  <c r="BB18" i="1" s="1"/>
  <c r="BV18" i="1"/>
  <c r="BE18" i="1"/>
  <c r="DX20" i="1"/>
  <c r="EA20" i="1" s="1"/>
  <c r="DF19" i="1" l="1"/>
  <c r="E45" i="11"/>
  <c r="DG27" i="10"/>
  <c r="DH27" i="10" s="1"/>
  <c r="DV27" i="10"/>
  <c r="DW27" i="10" s="1"/>
  <c r="DZ27" i="10" s="1"/>
  <c r="CC27" i="10"/>
  <c r="DA27" i="10"/>
  <c r="DB27" i="10" s="1"/>
  <c r="DD27" i="10" s="1"/>
  <c r="CB19" i="1"/>
  <c r="CZ19" i="1"/>
  <c r="DA19" i="1" s="1"/>
  <c r="DC19" i="1" s="1"/>
  <c r="C45" i="11" s="1"/>
  <c r="DG19" i="1"/>
  <c r="DU19" i="1"/>
  <c r="DV19" i="1" s="1"/>
  <c r="BA19" i="1"/>
  <c r="R22" i="1" l="1"/>
  <c r="F45" i="11"/>
  <c r="H45" i="11" s="1"/>
  <c r="DH19" i="1"/>
  <c r="EI19" i="1" s="1"/>
  <c r="EY48" i="1" s="1"/>
  <c r="EZ48" i="1" s="1"/>
  <c r="FA48" i="1" s="1"/>
  <c r="FB48" i="1" s="1"/>
  <c r="FC48" i="1" s="1"/>
  <c r="FD48" i="1" s="1"/>
  <c r="DE27" i="10"/>
  <c r="EB27" i="10"/>
  <c r="EG27" i="10"/>
  <c r="EH27" i="10" s="1"/>
  <c r="DN27" i="10" s="1"/>
  <c r="DO27" i="10" s="1"/>
  <c r="DX27" i="10"/>
  <c r="CI27" i="10"/>
  <c r="CS27" i="10" s="1"/>
  <c r="CT27" i="10" s="1"/>
  <c r="C45" i="7"/>
  <c r="DW19" i="1"/>
  <c r="BD19" i="1" s="1"/>
  <c r="EF19" i="1"/>
  <c r="EG19" i="1" s="1"/>
  <c r="DM19" i="1" s="1"/>
  <c r="DN19" i="1" s="1"/>
  <c r="BF20" i="1"/>
  <c r="S24" i="1" s="1"/>
  <c r="BC20" i="1"/>
  <c r="S23" i="1" s="1"/>
  <c r="CH19" i="1"/>
  <c r="CI19" i="1" s="1"/>
  <c r="CJ19" i="1" s="1"/>
  <c r="CK19" i="1" l="1"/>
  <c r="BD27" i="10"/>
  <c r="BE27" i="10"/>
  <c r="BG27" i="10"/>
  <c r="Z24" i="10" s="1"/>
  <c r="BF27" i="10"/>
  <c r="BB27" i="10"/>
  <c r="EJ27" i="10"/>
  <c r="FH56" i="10" s="1"/>
  <c r="FH58" i="10" s="1"/>
  <c r="FH59" i="10" s="1"/>
  <c r="DJ27" i="10"/>
  <c r="EY58" i="1"/>
  <c r="EY59" i="1" s="1"/>
  <c r="EK20" i="1" s="1"/>
  <c r="DI19" i="1"/>
  <c r="DK19" i="1" s="1"/>
  <c r="DO19" i="1" s="1"/>
  <c r="FE48" i="1"/>
  <c r="FF48" i="1" s="1"/>
  <c r="FG48" i="1" s="1"/>
  <c r="FD57" i="1"/>
  <c r="EJ24" i="1" s="1"/>
  <c r="CR19" i="1"/>
  <c r="CS19" i="1" s="1"/>
  <c r="CT19" i="1" s="1"/>
  <c r="CU27" i="10"/>
  <c r="DQ19" i="1" l="1"/>
  <c r="BW27" i="10"/>
  <c r="Z22" i="10"/>
  <c r="DL27" i="10"/>
  <c r="DP27" i="10" s="1"/>
  <c r="CV27" i="10"/>
  <c r="DJ19" i="1"/>
  <c r="DR19" i="1" l="1"/>
  <c r="DE20" i="1" s="1"/>
  <c r="G46" i="11"/>
  <c r="DR27" i="10"/>
  <c r="DS27" i="10" s="1"/>
  <c r="DK27" i="10"/>
  <c r="BV19" i="1"/>
  <c r="BE19" i="1"/>
  <c r="DX21" i="1"/>
  <c r="EA21" i="1" s="1"/>
  <c r="DS19" i="1"/>
  <c r="BB19" i="1" s="1"/>
  <c r="CU19" i="1"/>
  <c r="DF20" i="1" l="1"/>
  <c r="E46" i="11"/>
  <c r="DF28" i="10"/>
  <c r="BB28" i="10" s="1"/>
  <c r="DT27" i="10"/>
  <c r="BC27" i="10" s="1"/>
  <c r="CB20" i="1"/>
  <c r="DG20" i="1"/>
  <c r="DU20" i="1"/>
  <c r="DV20" i="1" s="1"/>
  <c r="CZ20" i="1"/>
  <c r="DA20" i="1" s="1"/>
  <c r="DC20" i="1" s="1"/>
  <c r="C46" i="11" s="1"/>
  <c r="BA20" i="1"/>
  <c r="S22" i="1" l="1"/>
  <c r="F46" i="11"/>
  <c r="H46" i="11" s="1"/>
  <c r="DH20" i="1"/>
  <c r="AA22" i="10"/>
  <c r="BB29" i="10"/>
  <c r="DA28" i="10"/>
  <c r="DB28" i="10" s="1"/>
  <c r="DD28" i="10" s="1"/>
  <c r="DV28" i="10"/>
  <c r="DW28" i="10" s="1"/>
  <c r="DZ28" i="10" s="1"/>
  <c r="EB28" i="10" s="1"/>
  <c r="CC28" i="10"/>
  <c r="DG28" i="10"/>
  <c r="DH28" i="10" s="1"/>
  <c r="C46" i="7"/>
  <c r="CH20" i="1"/>
  <c r="CI20" i="1" s="1"/>
  <c r="CJ20" i="1" s="1"/>
  <c r="DW20" i="1"/>
  <c r="EF20" i="1"/>
  <c r="EG20" i="1" s="1"/>
  <c r="DM20" i="1" s="1"/>
  <c r="DN20" i="1" s="1"/>
  <c r="BC21" i="1"/>
  <c r="T23" i="1" s="1"/>
  <c r="BF21" i="1"/>
  <c r="T24" i="1" s="1"/>
  <c r="CK20" i="1" l="1"/>
  <c r="DE28" i="10"/>
  <c r="BG28" i="10"/>
  <c r="AA24" i="10" s="1"/>
  <c r="BD28" i="10"/>
  <c r="BD29" i="10" s="1"/>
  <c r="BF28" i="10"/>
  <c r="CI28" i="10"/>
  <c r="CS28" i="10" s="1"/>
  <c r="CT28" i="10" s="1"/>
  <c r="DX28" i="10"/>
  <c r="BE28" i="10" s="1"/>
  <c r="EG28" i="10"/>
  <c r="EH28" i="10" s="1"/>
  <c r="DN28" i="10" s="1"/>
  <c r="BD20" i="1"/>
  <c r="CR20" i="1"/>
  <c r="CS20" i="1" s="1"/>
  <c r="CT20" i="1" s="1"/>
  <c r="EI20" i="1"/>
  <c r="EZ49" i="1" s="1"/>
  <c r="DI20" i="1"/>
  <c r="DO28" i="10" l="1"/>
  <c r="DN29" i="10"/>
  <c r="DO29" i="10" s="1"/>
  <c r="EJ28" i="10"/>
  <c r="DJ28" i="10"/>
  <c r="FA49" i="1"/>
  <c r="FB49" i="1" s="1"/>
  <c r="FC49" i="1" s="1"/>
  <c r="FD49" i="1" s="1"/>
  <c r="FE49" i="1" s="1"/>
  <c r="EZ58" i="1"/>
  <c r="EZ59" i="1" s="1"/>
  <c r="EK21" i="1" s="1"/>
  <c r="DK20" i="1"/>
  <c r="DO20" i="1" s="1"/>
  <c r="BV20" i="1"/>
  <c r="BE20" i="1"/>
  <c r="DX22" i="1"/>
  <c r="EA22" i="1" s="1"/>
  <c r="CU20" i="1"/>
  <c r="CU28" i="10"/>
  <c r="DQ20" i="1" l="1"/>
  <c r="DL28" i="10"/>
  <c r="DP28" i="10" s="1"/>
  <c r="DS28" i="10" s="1"/>
  <c r="DT28" i="10" s="1"/>
  <c r="BC28" i="10" s="1"/>
  <c r="BW28" i="10"/>
  <c r="CU29" i="10"/>
  <c r="CV28" i="10"/>
  <c r="DJ20" i="1"/>
  <c r="FF49" i="1"/>
  <c r="FG49" i="1" s="1"/>
  <c r="FE57" i="1"/>
  <c r="EJ25" i="1" s="1"/>
  <c r="DR20" i="1" l="1"/>
  <c r="DE21" i="1" s="1"/>
  <c r="G47" i="11"/>
  <c r="DK28" i="10"/>
  <c r="BF22" i="1"/>
  <c r="U24" i="1" s="1"/>
  <c r="BC22" i="1"/>
  <c r="U23" i="1" s="1"/>
  <c r="DF21" i="1" l="1"/>
  <c r="E47" i="11"/>
  <c r="DS20" i="1"/>
  <c r="BB20" i="1" s="1"/>
  <c r="DU21" i="1"/>
  <c r="DV21" i="1" s="1"/>
  <c r="DG21" i="1"/>
  <c r="CB21" i="1"/>
  <c r="CZ21" i="1"/>
  <c r="DA21" i="1" s="1"/>
  <c r="DC21" i="1" s="1"/>
  <c r="C47" i="11" s="1"/>
  <c r="BA21" i="1"/>
  <c r="T22" i="1" l="1"/>
  <c r="AY55" i="1"/>
  <c r="F47" i="11"/>
  <c r="H47" i="11" s="1"/>
  <c r="DH21" i="1"/>
  <c r="C47" i="7"/>
  <c r="CH21" i="1"/>
  <c r="CI21" i="1" s="1"/>
  <c r="CJ21" i="1" s="1"/>
  <c r="AW24" i="1"/>
  <c r="DW21" i="1"/>
  <c r="EF21" i="1"/>
  <c r="EG21" i="1" s="1"/>
  <c r="DM21" i="1" s="1"/>
  <c r="DN21" i="1" s="1"/>
  <c r="CK21" i="1" l="1"/>
  <c r="BD21" i="1"/>
  <c r="DZ25" i="1"/>
  <c r="DZ24" i="1"/>
  <c r="DZ28" i="1"/>
  <c r="DZ26" i="1"/>
  <c r="DZ27" i="1"/>
  <c r="CR21" i="1"/>
  <c r="CS21" i="1" s="1"/>
  <c r="CT21" i="1" s="1"/>
  <c r="EI21" i="1"/>
  <c r="FA50" i="1" s="1"/>
  <c r="DI21" i="1"/>
  <c r="DK21" i="1" l="1"/>
  <c r="DO21" i="1" s="1"/>
  <c r="FB50" i="1"/>
  <c r="FC50" i="1" s="1"/>
  <c r="FD50" i="1" s="1"/>
  <c r="FE50" i="1" s="1"/>
  <c r="FF50" i="1" s="1"/>
  <c r="FA58" i="1"/>
  <c r="FA59" i="1" s="1"/>
  <c r="EK22" i="1" s="1"/>
  <c r="DQ21" i="1" l="1"/>
  <c r="FG50" i="1"/>
  <c r="FF57" i="1"/>
  <c r="EJ26" i="1" s="1"/>
  <c r="BV21" i="1"/>
  <c r="BE21" i="1"/>
  <c r="DX23" i="1"/>
  <c r="CU21" i="1"/>
  <c r="DJ21" i="1"/>
  <c r="DR21" i="1" l="1"/>
  <c r="DE22" i="1" s="1"/>
  <c r="G48" i="11"/>
  <c r="DF22" i="1" l="1"/>
  <c r="DG22" i="1" s="1"/>
  <c r="E48" i="11"/>
  <c r="DS21" i="1"/>
  <c r="BB21" i="1" s="1"/>
  <c r="DU22" i="1"/>
  <c r="DV22" i="1" s="1"/>
  <c r="CB22" i="1"/>
  <c r="CZ22" i="1"/>
  <c r="DA22" i="1" s="1"/>
  <c r="DC22" i="1" s="1"/>
  <c r="C48" i="11" s="1"/>
  <c r="BA22" i="1"/>
  <c r="U22" i="1" l="1"/>
  <c r="F48" i="11"/>
  <c r="H48" i="11" s="1"/>
  <c r="DH22" i="1"/>
  <c r="C48" i="7"/>
  <c r="CH22" i="1"/>
  <c r="CR22" i="1" s="1"/>
  <c r="CS22" i="1" s="1"/>
  <c r="CT22" i="1" s="1"/>
  <c r="DW22" i="1"/>
  <c r="BD22" i="1" s="1"/>
  <c r="EF22" i="1"/>
  <c r="EG22" i="1" s="1"/>
  <c r="DM22" i="1" s="1"/>
  <c r="DN22" i="1" s="1"/>
  <c r="EI22" i="1" l="1"/>
  <c r="FB51" i="1" s="1"/>
  <c r="DI22" i="1"/>
  <c r="FC51" i="1" l="1"/>
  <c r="FD51" i="1" s="1"/>
  <c r="FE51" i="1" s="1"/>
  <c r="FF51" i="1" s="1"/>
  <c r="FG51" i="1" s="1"/>
  <c r="FG57" i="1" s="1"/>
  <c r="FB58" i="1"/>
  <c r="FB59" i="1" s="1"/>
  <c r="EK23" i="1" s="1"/>
  <c r="DK22" i="1"/>
  <c r="DO22" i="1" s="1"/>
  <c r="BV22" i="1"/>
  <c r="BE22" i="1"/>
  <c r="DX24" i="1"/>
  <c r="CU22" i="1"/>
  <c r="DQ22" i="1" l="1"/>
  <c r="DJ22" i="1"/>
  <c r="EJ27" i="1"/>
  <c r="EJ28" i="1"/>
  <c r="DR22" i="1" l="1"/>
  <c r="DE23" i="1" s="1"/>
  <c r="G49" i="11"/>
  <c r="DF23" i="1" l="1"/>
  <c r="DG23" i="1" s="1"/>
  <c r="E49" i="11"/>
  <c r="DS22" i="1"/>
  <c r="BB22" i="1" s="1"/>
  <c r="DU23" i="1"/>
  <c r="DV23" i="1" s="1"/>
  <c r="DY23" i="1" s="1"/>
  <c r="EA23" i="1" s="1"/>
  <c r="CB23" i="1"/>
  <c r="CZ23" i="1"/>
  <c r="DA23" i="1" s="1"/>
  <c r="DC23" i="1" s="1"/>
  <c r="C49" i="11" s="1"/>
  <c r="DH23" i="1" l="1"/>
  <c r="BF23" i="1"/>
  <c r="V24" i="1" s="1"/>
  <c r="BC23" i="1"/>
  <c r="V23" i="1" s="1"/>
  <c r="BA23" i="1"/>
  <c r="CH23" i="1"/>
  <c r="CR23" i="1" s="1"/>
  <c r="CS23" i="1" s="1"/>
  <c r="CT23" i="1" s="1"/>
  <c r="DW23" i="1"/>
  <c r="BD23" i="1" s="1"/>
  <c r="EF23" i="1"/>
  <c r="EG23" i="1" s="1"/>
  <c r="DM23" i="1" s="1"/>
  <c r="DN23" i="1" s="1"/>
  <c r="V22" i="1" l="1"/>
  <c r="F49" i="11"/>
  <c r="H49" i="11" s="1"/>
  <c r="C49" i="7"/>
  <c r="DX25" i="1"/>
  <c r="EI23" i="1"/>
  <c r="FC52" i="1" s="1"/>
  <c r="DI23" i="1"/>
  <c r="BV23" i="1" l="1"/>
  <c r="BE23" i="1"/>
  <c r="FD52" i="1"/>
  <c r="FE52" i="1" s="1"/>
  <c r="FF52" i="1" s="1"/>
  <c r="FG52" i="1" s="1"/>
  <c r="FC58" i="1"/>
  <c r="FC59" i="1" s="1"/>
  <c r="EK24" i="1" s="1"/>
  <c r="CU23" i="1"/>
  <c r="DK23" i="1"/>
  <c r="DO23" i="1" s="1"/>
  <c r="DQ23" i="1" l="1"/>
  <c r="DJ23" i="1"/>
  <c r="DR23" i="1" l="1"/>
  <c r="DE24" i="1" s="1"/>
  <c r="G50" i="11"/>
  <c r="DF24" i="1" l="1"/>
  <c r="DG24" i="1" s="1"/>
  <c r="E50" i="11"/>
  <c r="DS23" i="1"/>
  <c r="BB23" i="1" s="1"/>
  <c r="CZ24" i="1"/>
  <c r="DA24" i="1" s="1"/>
  <c r="DC24" i="1" s="1"/>
  <c r="C50" i="11" s="1"/>
  <c r="DU24" i="1"/>
  <c r="DV24" i="1" s="1"/>
  <c r="CB24" i="1"/>
  <c r="DH24" i="1" l="1"/>
  <c r="EI24" i="1" s="1"/>
  <c r="FD53" i="1" s="1"/>
  <c r="FE53" i="1" s="1"/>
  <c r="FF53" i="1" s="1"/>
  <c r="FG53" i="1" s="1"/>
  <c r="CH24" i="1"/>
  <c r="CR24" i="1" s="1"/>
  <c r="CS24" i="1" s="1"/>
  <c r="CT24" i="1" s="1"/>
  <c r="DY24" i="1"/>
  <c r="EA24" i="1" s="1"/>
  <c r="DW24" i="1"/>
  <c r="EF24" i="1"/>
  <c r="EG24" i="1" s="1"/>
  <c r="DM24" i="1" s="1"/>
  <c r="DN24" i="1" s="1"/>
  <c r="FD58" i="1" l="1"/>
  <c r="FD59" i="1" s="1"/>
  <c r="EK25" i="1" s="1"/>
  <c r="DI24" i="1"/>
  <c r="DK24" i="1" s="1"/>
  <c r="DO24" i="1" s="1"/>
  <c r="DQ24" i="1" l="1"/>
  <c r="BV24" i="1"/>
  <c r="DX26" i="1"/>
  <c r="CU24" i="1"/>
  <c r="BD24" i="1"/>
  <c r="BC24" i="1"/>
  <c r="W23" i="1" s="1"/>
  <c r="BA24" i="1"/>
  <c r="BF24" i="1"/>
  <c r="W24" i="1" s="1"/>
  <c r="BE24" i="1"/>
  <c r="DJ24" i="1"/>
  <c r="DR24" i="1" l="1"/>
  <c r="DE25" i="1" s="1"/>
  <c r="G51" i="11"/>
  <c r="W22" i="1"/>
  <c r="F50" i="11"/>
  <c r="H50" i="11" s="1"/>
  <c r="C50" i="7"/>
  <c r="DF25" i="1" l="1"/>
  <c r="DG25" i="1" s="1"/>
  <c r="E51" i="11"/>
  <c r="DS24" i="1"/>
  <c r="BB24" i="1" s="1"/>
  <c r="CB25" i="1"/>
  <c r="DU25" i="1"/>
  <c r="DV25" i="1" s="1"/>
  <c r="DY25" i="1" s="1"/>
  <c r="EA25" i="1" s="1"/>
  <c r="CZ25" i="1"/>
  <c r="DA25" i="1" s="1"/>
  <c r="DC25" i="1" s="1"/>
  <c r="C51" i="11" s="1"/>
  <c r="DH25" i="1" l="1"/>
  <c r="EF25" i="1"/>
  <c r="EG25" i="1" s="1"/>
  <c r="DM25" i="1" s="1"/>
  <c r="DN25" i="1" s="1"/>
  <c r="DW25" i="1"/>
  <c r="CH25" i="1"/>
  <c r="CR25" i="1" s="1"/>
  <c r="CS25" i="1" s="1"/>
  <c r="CT25" i="1" s="1"/>
  <c r="BD25" i="1" l="1"/>
  <c r="BF25" i="1"/>
  <c r="X24" i="1" s="1"/>
  <c r="BC25" i="1"/>
  <c r="X23" i="1" s="1"/>
  <c r="BA25" i="1"/>
  <c r="BE25" i="1"/>
  <c r="EI25" i="1"/>
  <c r="FE54" i="1" s="1"/>
  <c r="DI25" i="1"/>
  <c r="X22" i="1" l="1"/>
  <c r="F51" i="11"/>
  <c r="H51" i="11" s="1"/>
  <c r="C51" i="7"/>
  <c r="BV25" i="1"/>
  <c r="DX27" i="1"/>
  <c r="FF54" i="1"/>
  <c r="FG54" i="1" s="1"/>
  <c r="FE58" i="1"/>
  <c r="FE59" i="1" s="1"/>
  <c r="EK26" i="1" s="1"/>
  <c r="DK25" i="1"/>
  <c r="DO25" i="1" s="1"/>
  <c r="CU25" i="1"/>
  <c r="DQ25" i="1" l="1"/>
  <c r="DJ25" i="1"/>
  <c r="DR25" i="1" l="1"/>
  <c r="DE26" i="1" s="1"/>
  <c r="G52" i="11"/>
  <c r="DF26" i="1" l="1"/>
  <c r="DG26" i="1" s="1"/>
  <c r="E52" i="11"/>
  <c r="DS25" i="1"/>
  <c r="BB25" i="1" s="1"/>
  <c r="DU26" i="1"/>
  <c r="DV26" i="1" s="1"/>
  <c r="DY26" i="1" s="1"/>
  <c r="EA26" i="1" s="1"/>
  <c r="CB26" i="1"/>
  <c r="CZ26" i="1"/>
  <c r="DA26" i="1" s="1"/>
  <c r="DC26" i="1" s="1"/>
  <c r="C52" i="11" s="1"/>
  <c r="DH26" i="1" l="1"/>
  <c r="CH26" i="1"/>
  <c r="CR26" i="1" s="1"/>
  <c r="CS26" i="1" s="1"/>
  <c r="CT26" i="1" s="1"/>
  <c r="DW26" i="1"/>
  <c r="EF26" i="1"/>
  <c r="EG26" i="1" s="1"/>
  <c r="DM26" i="1" s="1"/>
  <c r="DN26" i="1" s="1"/>
  <c r="BF26" i="1" l="1"/>
  <c r="Y24" i="1" s="1"/>
  <c r="BC26" i="1"/>
  <c r="Y23" i="1" s="1"/>
  <c r="Z23" i="1" s="1"/>
  <c r="BD26" i="1"/>
  <c r="BA26" i="1"/>
  <c r="BE26" i="1"/>
  <c r="EI26" i="1"/>
  <c r="FF55" i="1" s="1"/>
  <c r="DI26" i="1"/>
  <c r="Y22" i="1" l="1"/>
  <c r="F52" i="11"/>
  <c r="H52" i="11" s="1"/>
  <c r="BV26" i="1"/>
  <c r="DX28" i="1"/>
  <c r="C52" i="7"/>
  <c r="DK26" i="1"/>
  <c r="DO26" i="1" s="1"/>
  <c r="FG55" i="1"/>
  <c r="FF58" i="1"/>
  <c r="FF59" i="1" s="1"/>
  <c r="CU26" i="1"/>
  <c r="EK28" i="1" l="1"/>
  <c r="EK27" i="1"/>
  <c r="DQ26" i="1"/>
  <c r="DJ26" i="1"/>
  <c r="DR26" i="1" l="1"/>
  <c r="DE27" i="1" s="1"/>
  <c r="G53" i="11"/>
  <c r="DF27" i="1" l="1"/>
  <c r="E53" i="11"/>
  <c r="DS26" i="1"/>
  <c r="BB26" i="1" s="1"/>
  <c r="CZ27" i="1"/>
  <c r="DA27" i="1" s="1"/>
  <c r="DC27" i="1" s="1"/>
  <c r="C53" i="11" s="1"/>
  <c r="DG27" i="1"/>
  <c r="DU27" i="1"/>
  <c r="DV27" i="1" s="1"/>
  <c r="DY27" i="1" s="1"/>
  <c r="EA27" i="1" s="1"/>
  <c r="CB27" i="1"/>
  <c r="DH27" i="1" l="1"/>
  <c r="EI27" i="1" s="1"/>
  <c r="FG56" i="1" s="1"/>
  <c r="FG58" i="1" s="1"/>
  <c r="FG59" i="1" s="1"/>
  <c r="CH27" i="1"/>
  <c r="CR27" i="1" s="1"/>
  <c r="CS27" i="1" s="1"/>
  <c r="CT27" i="1" s="1"/>
  <c r="DW27" i="1"/>
  <c r="EF27" i="1"/>
  <c r="EG27" i="1" s="1"/>
  <c r="DM27" i="1" s="1"/>
  <c r="DN27" i="1" s="1"/>
  <c r="BD27" i="1" l="1"/>
  <c r="BA27" i="1"/>
  <c r="BC27" i="1"/>
  <c r="BF27" i="1"/>
  <c r="Z24" i="1" s="1"/>
  <c r="DI27" i="1"/>
  <c r="DK27" i="1" s="1"/>
  <c r="DO27" i="1" s="1"/>
  <c r="BV27" i="1"/>
  <c r="Z22" i="1" l="1"/>
  <c r="F53" i="11"/>
  <c r="H53" i="11" s="1"/>
  <c r="DQ27" i="1"/>
  <c r="BE27" i="1"/>
  <c r="C53" i="7"/>
  <c r="DJ27" i="1"/>
  <c r="CU27" i="1"/>
  <c r="DR27" i="1" l="1"/>
  <c r="DE28" i="1" s="1"/>
  <c r="BA28" i="1" s="1"/>
  <c r="G54" i="11"/>
  <c r="DF28" i="1" l="1"/>
  <c r="DG28" i="1" s="1"/>
  <c r="E54" i="11"/>
  <c r="DS27" i="1"/>
  <c r="BB27" i="1" s="1"/>
  <c r="AA22" i="1"/>
  <c r="F54" i="11"/>
  <c r="H54" i="11" s="1"/>
  <c r="C54" i="7"/>
  <c r="BA29" i="1"/>
  <c r="CB28" i="1"/>
  <c r="CZ28" i="1"/>
  <c r="DA28" i="1" s="1"/>
  <c r="DC28" i="1" s="1"/>
  <c r="C54" i="11" s="1"/>
  <c r="DU28" i="1"/>
  <c r="DV28" i="1" s="1"/>
  <c r="DY28" i="1" s="1"/>
  <c r="EA28" i="1" s="1"/>
  <c r="DH28" i="1" l="1"/>
  <c r="BC28" i="1"/>
  <c r="BF28" i="1"/>
  <c r="AA24" i="1" s="1"/>
  <c r="CH28" i="1"/>
  <c r="CR28" i="1" s="1"/>
  <c r="CS28" i="1" s="1"/>
  <c r="CT28" i="1" s="1"/>
  <c r="DW28" i="1"/>
  <c r="BD28" i="1" s="1"/>
  <c r="EF28" i="1"/>
  <c r="EG28" i="1" s="1"/>
  <c r="DM28" i="1" s="1"/>
  <c r="DN28" i="1" s="1"/>
  <c r="BC29" i="1" l="1"/>
  <c r="BE28" i="1"/>
  <c r="DM29" i="1"/>
  <c r="DN29" i="1" s="1"/>
  <c r="EI28" i="1"/>
  <c r="DI28" i="1"/>
  <c r="DK28" i="1" l="1"/>
  <c r="DO28" i="1" s="1"/>
  <c r="BV28" i="1"/>
  <c r="CT29" i="1"/>
  <c r="CU28" i="1"/>
  <c r="DJ28" i="1" l="1"/>
  <c r="DR28" i="1" l="1"/>
  <c r="DS28" i="1" s="1"/>
  <c r="BB28" i="1" s="1"/>
</calcChain>
</file>

<file path=xl/comments1.xml><?xml version="1.0" encoding="utf-8"?>
<comments xmlns="http://schemas.openxmlformats.org/spreadsheetml/2006/main">
  <authors>
    <author>Randy Oliver</author>
  </authors>
  <commentList>
    <comment ref="BE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Q2" authorId="0">
      <text>
        <r>
          <rPr>
            <b/>
            <sz val="9"/>
            <color indexed="81"/>
            <rFont val="Tahoma"/>
            <family val="2"/>
          </rPr>
          <t>Randy Oliver:</t>
        </r>
        <r>
          <rPr>
            <sz val="9"/>
            <color indexed="81"/>
            <rFont val="Tahoma"/>
            <family val="2"/>
          </rPr>
          <t xml:space="preserve">
# of frames x AK44</t>
        </r>
      </text>
    </comment>
    <comment ref="BS2" authorId="0">
      <text>
        <r>
          <rPr>
            <b/>
            <sz val="9"/>
            <color indexed="81"/>
            <rFont val="Tahoma"/>
            <family val="2"/>
          </rPr>
          <t>Randy Oliver:</t>
        </r>
        <r>
          <rPr>
            <sz val="9"/>
            <color indexed="81"/>
            <rFont val="Tahoma"/>
            <family val="2"/>
          </rPr>
          <t xml:space="preserve">
# of frames x AK43
</t>
        </r>
      </text>
    </comment>
    <comment ref="BV2" authorId="0">
      <text>
        <r>
          <rPr>
            <b/>
            <sz val="9"/>
            <color indexed="81"/>
            <rFont val="Tahoma"/>
            <family val="2"/>
          </rPr>
          <t>Randy Oliver:</t>
        </r>
        <r>
          <rPr>
            <sz val="9"/>
            <color indexed="81"/>
            <rFont val="Tahoma"/>
            <family val="2"/>
          </rPr>
          <t xml:space="preserve">
BN6*AP6</t>
        </r>
      </text>
    </comment>
    <comment ref="BX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Y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C2" authorId="0">
      <text>
        <r>
          <rPr>
            <b/>
            <sz val="9"/>
            <color indexed="81"/>
            <rFont val="Tahoma"/>
            <family val="2"/>
          </rPr>
          <t>Randy Oliver:</t>
        </r>
        <r>
          <rPr>
            <sz val="9"/>
            <color indexed="81"/>
            <rFont val="Tahoma"/>
            <family val="2"/>
          </rPr>
          <t xml:space="preserve">
Assume 12 days sealed; 20 day total.</t>
        </r>
      </text>
    </comment>
    <comment ref="CE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J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K2" authorId="0">
      <text>
        <r>
          <rPr>
            <b/>
            <sz val="9"/>
            <color indexed="81"/>
            <rFont val="Tahoma"/>
            <family val="2"/>
          </rPr>
          <t>Randy Oliver:</t>
        </r>
        <r>
          <rPr>
            <sz val="9"/>
            <color indexed="81"/>
            <rFont val="Tahoma"/>
            <family val="2"/>
          </rPr>
          <t xml:space="preserve">
See comment for column BS.</t>
        </r>
      </text>
    </comment>
    <comment ref="CL2" authorId="0">
      <text>
        <r>
          <rPr>
            <b/>
            <sz val="9"/>
            <color indexed="81"/>
            <rFont val="Tahoma"/>
            <family val="2"/>
          </rPr>
          <t>Randy Oliver:</t>
        </r>
        <r>
          <rPr>
            <sz val="9"/>
            <color indexed="81"/>
            <rFont val="Tahoma"/>
            <family val="2"/>
          </rPr>
          <t xml:space="preserve">
Assumes 15 days in brood</t>
        </r>
      </text>
    </comment>
    <comment ref="CM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T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U2" authorId="0">
      <text>
        <r>
          <rPr>
            <b/>
            <sz val="9"/>
            <color indexed="81"/>
            <rFont val="Tahoma"/>
            <family val="2"/>
          </rPr>
          <t>Randy Oliver:</t>
        </r>
        <r>
          <rPr>
            <sz val="9"/>
            <color indexed="81"/>
            <rFont val="Tahoma"/>
            <family val="2"/>
          </rPr>
          <t xml:space="preserve">
See comment for column BS.</t>
        </r>
      </text>
    </comment>
    <comment ref="CX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A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B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C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F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G2" authorId="0">
      <text>
        <r>
          <rPr>
            <b/>
            <sz val="9"/>
            <color indexed="81"/>
            <rFont val="Tahoma"/>
            <family val="2"/>
          </rPr>
          <t>Randy Oliver:</t>
        </r>
        <r>
          <rPr>
            <sz val="9"/>
            <color indexed="81"/>
            <rFont val="Tahoma"/>
            <family val="2"/>
          </rPr>
          <t xml:space="preserve">
See comment at calculation to right</t>
        </r>
      </text>
    </comment>
    <comment ref="DH2" authorId="0">
      <text>
        <r>
          <rPr>
            <b/>
            <sz val="9"/>
            <color indexed="81"/>
            <rFont val="Tahoma"/>
            <family val="2"/>
          </rPr>
          <t>Randy Oliver:</t>
        </r>
        <r>
          <rPr>
            <sz val="9"/>
            <color indexed="81"/>
            <rFont val="Tahoma"/>
            <family val="2"/>
          </rPr>
          <t xml:space="preserve">
Based upon number of potentially fertile mites * potential daily r</t>
        </r>
      </text>
    </comment>
    <comment ref="DK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L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M2" authorId="0">
      <text>
        <r>
          <rPr>
            <b/>
            <sz val="9"/>
            <color indexed="81"/>
            <rFont val="Tahoma"/>
            <family val="2"/>
          </rPr>
          <t>Randy Oliver:</t>
        </r>
        <r>
          <rPr>
            <sz val="9"/>
            <color indexed="81"/>
            <rFont val="Tahoma"/>
            <family val="2"/>
          </rPr>
          <t xml:space="preserve">
See "Calculation for mite drift from hive"</t>
        </r>
      </text>
    </comment>
    <comment ref="DQ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X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B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F2" authorId="0">
      <text>
        <r>
          <rPr>
            <b/>
            <sz val="9"/>
            <color indexed="81"/>
            <rFont val="Tahoma"/>
            <family val="2"/>
          </rPr>
          <t>Randy Oliver:</t>
        </r>
        <r>
          <rPr>
            <sz val="9"/>
            <color indexed="81"/>
            <rFont val="Tahoma"/>
            <family val="2"/>
          </rPr>
          <t xml:space="preserve">
See Cervo 2014</t>
        </r>
      </text>
    </comment>
    <comment ref="EG2" authorId="0">
      <text>
        <r>
          <rPr>
            <b/>
            <sz val="9"/>
            <color indexed="81"/>
            <rFont val="Tahoma"/>
            <family val="2"/>
          </rPr>
          <t>Randy Oliver:</t>
        </r>
        <r>
          <rPr>
            <sz val="9"/>
            <color indexed="81"/>
            <rFont val="Tahoma"/>
            <family val="2"/>
          </rPr>
          <t xml:space="preserve">
Kralj 2006 From 9-30% of exiting infested bees do not return.</t>
        </r>
      </text>
    </comment>
    <comment ref="EJ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K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B3" authorId="0">
      <text>
        <r>
          <rPr>
            <b/>
            <sz val="9"/>
            <color indexed="81"/>
            <rFont val="Tahoma"/>
            <family val="2"/>
          </rPr>
          <t>Randy Oliver:</t>
        </r>
        <r>
          <rPr>
            <sz val="9"/>
            <color indexed="81"/>
            <rFont val="Tahoma"/>
            <family val="2"/>
          </rPr>
          <t xml:space="preserve">
See comment at calculation</t>
        </r>
      </text>
    </comment>
    <comment ref="BH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T36" authorId="0">
      <text>
        <r>
          <rPr>
            <b/>
            <sz val="9"/>
            <color indexed="81"/>
            <rFont val="Tahoma"/>
            <family val="2"/>
          </rPr>
          <t>Randy Oliver:</t>
        </r>
        <r>
          <rPr>
            <sz val="9"/>
            <color indexed="81"/>
            <rFont val="Tahoma"/>
            <family val="2"/>
          </rPr>
          <t xml:space="preserve">
365/24 intervals</t>
        </r>
      </text>
    </comment>
    <comment ref="BD38" authorId="0">
      <text>
        <r>
          <rPr>
            <b/>
            <sz val="9"/>
            <color indexed="81"/>
            <rFont val="Tahoma"/>
            <family val="2"/>
          </rPr>
          <t>Randy Oliver:</t>
        </r>
        <r>
          <rPr>
            <sz val="9"/>
            <color indexed="81"/>
            <rFont val="Tahoma"/>
            <family val="2"/>
          </rPr>
          <t xml:space="preserve">
Advanced users can input custom values for sensitivity analyses.</t>
        </r>
      </text>
    </comment>
    <comment ref="AY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D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A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Y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F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E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C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comments2.xml><?xml version="1.0" encoding="utf-8"?>
<comments xmlns="http://schemas.openxmlformats.org/spreadsheetml/2006/main">
  <authors>
    <author>Randy Oliver</author>
  </authors>
  <commentList>
    <comment ref="N25" authorId="0">
      <text>
        <r>
          <rPr>
            <b/>
            <sz val="9"/>
            <color indexed="81"/>
            <rFont val="Tahoma"/>
            <family val="2"/>
          </rPr>
          <t>Randy Oliver:</t>
        </r>
        <r>
          <rPr>
            <sz val="9"/>
            <color indexed="81"/>
            <rFont val="Tahoma"/>
            <family val="2"/>
          </rPr>
          <t xml:space="preserve">
Allen (1965) The Effect of a Plentiful Supply of Drone Comb on Colonies of Honeybees, Journal of Apicultural Research 4(2): 109-119</t>
        </r>
      </text>
    </comment>
  </commentList>
</comments>
</file>

<file path=xl/comments3.xml><?xml version="1.0" encoding="utf-8"?>
<comments xmlns="http://schemas.openxmlformats.org/spreadsheetml/2006/main">
  <authors>
    <author>Randy Oliver</author>
  </authors>
  <commentList>
    <comment ref="BF2" authorId="0">
      <text>
        <r>
          <rPr>
            <b/>
            <sz val="9"/>
            <color indexed="81"/>
            <rFont val="Tahoma"/>
            <family val="2"/>
          </rPr>
          <t>Randy Oliver:</t>
        </r>
        <r>
          <rPr>
            <sz val="9"/>
            <color indexed="81"/>
            <rFont val="Tahoma"/>
            <family val="2"/>
          </rPr>
          <t xml:space="preserve">
Since there are substantial outliers in mite buildup when I compare field data from colonies in the same yard, please interpret the model to show </t>
        </r>
        <r>
          <rPr>
            <i/>
            <sz val="9"/>
            <color indexed="81"/>
            <rFont val="Tahoma"/>
            <family val="2"/>
          </rPr>
          <t>median</t>
        </r>
        <r>
          <rPr>
            <sz val="9"/>
            <color indexed="81"/>
            <rFont val="Tahoma"/>
            <family val="2"/>
          </rPr>
          <t>, as opposed to mean mite numbers</t>
        </r>
      </text>
    </comment>
    <comment ref="BR2" authorId="0">
      <text>
        <r>
          <rPr>
            <b/>
            <sz val="9"/>
            <color indexed="81"/>
            <rFont val="Tahoma"/>
            <family val="2"/>
          </rPr>
          <t>Randy Oliver:</t>
        </r>
        <r>
          <rPr>
            <sz val="9"/>
            <color indexed="81"/>
            <rFont val="Tahoma"/>
            <family val="2"/>
          </rPr>
          <t xml:space="preserve">
# of frames x AK44</t>
        </r>
      </text>
    </comment>
    <comment ref="BT2" authorId="0">
      <text>
        <r>
          <rPr>
            <b/>
            <sz val="9"/>
            <color indexed="81"/>
            <rFont val="Tahoma"/>
            <family val="2"/>
          </rPr>
          <t>Randy Oliver:</t>
        </r>
        <r>
          <rPr>
            <sz val="9"/>
            <color indexed="81"/>
            <rFont val="Tahoma"/>
            <family val="2"/>
          </rPr>
          <t xml:space="preserve">
# of frames x AK43
</t>
        </r>
      </text>
    </comment>
    <comment ref="BW2" authorId="0">
      <text>
        <r>
          <rPr>
            <b/>
            <sz val="9"/>
            <color indexed="81"/>
            <rFont val="Tahoma"/>
            <family val="2"/>
          </rPr>
          <t>Randy Oliver:</t>
        </r>
        <r>
          <rPr>
            <sz val="9"/>
            <color indexed="81"/>
            <rFont val="Tahoma"/>
            <family val="2"/>
          </rPr>
          <t xml:space="preserve">
BN6*AP6</t>
        </r>
      </text>
    </comment>
    <comment ref="BY2" authorId="0">
      <text>
        <r>
          <rPr>
            <b/>
            <sz val="9"/>
            <color indexed="81"/>
            <rFont val="Tahoma"/>
            <family val="2"/>
          </rPr>
          <t>Randy Oliver:</t>
        </r>
        <r>
          <rPr>
            <sz val="9"/>
            <color indexed="81"/>
            <rFont val="Tahoma"/>
            <family val="2"/>
          </rPr>
          <t xml:space="preserve">
I extrapolated Boot's values, and found that they fit a log function.
See calculations starting with cell AU86.
For this version, the root assumption is that foundress mites invade cells at the rate of y=-5*ln(x)+5,with x being the brood: adult bee ratio, and y equaling the number of days of phoresy.
There may be a minimal phoretic period, due to a requirement for sperm capitation--Häußermann CK, Ziegelmann B, Rosenkranz P (2016) Spermatozoa capacitation in female Varroa destructor and its influence on the timing and success of female reproduction. Experimental and Applied Acarology 69: 371-387. 
</t>
        </r>
      </text>
    </comment>
    <comment ref="BZ2" authorId="0">
      <text>
        <r>
          <rPr>
            <b/>
            <sz val="9"/>
            <color indexed="81"/>
            <rFont val="Tahoma"/>
            <family val="2"/>
          </rPr>
          <t>Randy Oliver:</t>
        </r>
        <r>
          <rPr>
            <sz val="9"/>
            <color indexed="81"/>
            <rFont val="Tahoma"/>
            <family val="2"/>
          </rPr>
          <t xml:space="preserve">
This calculation is the heart of the model, as it allows us to calculate both the r value as well as percentage of mites that are phoretic during the indicated period.</t>
        </r>
      </text>
    </comment>
    <comment ref="CD2" authorId="0">
      <text>
        <r>
          <rPr>
            <b/>
            <sz val="9"/>
            <color indexed="81"/>
            <rFont val="Tahoma"/>
            <family val="2"/>
          </rPr>
          <t>Randy Oliver:</t>
        </r>
        <r>
          <rPr>
            <sz val="9"/>
            <color indexed="81"/>
            <rFont val="Tahoma"/>
            <family val="2"/>
          </rPr>
          <t xml:space="preserve">
Assume 12 days sealed; 20 day total.</t>
        </r>
      </text>
    </comment>
    <comment ref="CF2" authorId="0">
      <text>
        <r>
          <rPr>
            <b/>
            <sz val="9"/>
            <color indexed="81"/>
            <rFont val="Tahoma"/>
            <family val="2"/>
          </rPr>
          <t>Randy Oliver:</t>
        </r>
        <r>
          <rPr>
            <sz val="9"/>
            <color indexed="81"/>
            <rFont val="Tahoma"/>
            <family val="2"/>
          </rPr>
          <t xml:space="preserve">
The percentage of drone cells measured by area overestimates the actual number of cells, since there are approx 25 worker cells per sq in, but only approx 16 drone cells.</t>
        </r>
      </text>
    </comment>
    <comment ref="CK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L2" authorId="0">
      <text>
        <r>
          <rPr>
            <b/>
            <sz val="9"/>
            <color indexed="81"/>
            <rFont val="Tahoma"/>
            <family val="2"/>
          </rPr>
          <t>Randy Oliver:</t>
        </r>
        <r>
          <rPr>
            <sz val="9"/>
            <color indexed="81"/>
            <rFont val="Tahoma"/>
            <family val="2"/>
          </rPr>
          <t xml:space="preserve">
See comment for column BS.</t>
        </r>
      </text>
    </comment>
    <comment ref="CM2" authorId="0">
      <text>
        <r>
          <rPr>
            <b/>
            <sz val="9"/>
            <color indexed="81"/>
            <rFont val="Tahoma"/>
            <family val="2"/>
          </rPr>
          <t>Randy Oliver:</t>
        </r>
        <r>
          <rPr>
            <sz val="9"/>
            <color indexed="81"/>
            <rFont val="Tahoma"/>
            <family val="2"/>
          </rPr>
          <t xml:space="preserve">
Assumes 15 days in brood</t>
        </r>
      </text>
    </comment>
    <comment ref="CN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CU2" authorId="0">
      <text>
        <r>
          <rPr>
            <b/>
            <sz val="9"/>
            <color indexed="81"/>
            <rFont val="Tahoma"/>
            <family val="2"/>
          </rPr>
          <t>Randy Oliver:</t>
        </r>
        <r>
          <rPr>
            <sz val="9"/>
            <color indexed="81"/>
            <rFont val="Tahoma"/>
            <family val="2"/>
          </rPr>
          <t xml:space="preserve">
Estimated by subtracting the percentage of cells not containing a single mite, based upon the Poisson distribution.</t>
        </r>
      </text>
    </comment>
    <comment ref="CV2" authorId="0">
      <text>
        <r>
          <rPr>
            <b/>
            <sz val="9"/>
            <color indexed="81"/>
            <rFont val="Tahoma"/>
            <family val="2"/>
          </rPr>
          <t>Randy Oliver:</t>
        </r>
        <r>
          <rPr>
            <sz val="9"/>
            <color indexed="81"/>
            <rFont val="Tahoma"/>
            <family val="2"/>
          </rPr>
          <t xml:space="preserve">
See comment for column BS.</t>
        </r>
      </text>
    </comment>
    <comment ref="CY2" authorId="0">
      <text>
        <r>
          <rPr>
            <b/>
            <sz val="9"/>
            <color indexed="81"/>
            <rFont val="Tahoma"/>
            <family val="2"/>
          </rPr>
          <t xml:space="preserve">Randy Oliver:
</t>
        </r>
        <r>
          <rPr>
            <sz val="9"/>
            <color indexed="81"/>
            <rFont val="Tahoma"/>
            <family val="2"/>
          </rPr>
          <t xml:space="preserve">I removed this calc, due to the assumption that the mite pop will never be allowed to rise to the point that few invasions of more than 3 foundresses will occur.
 S J Martin (1995) Reproduction of Varroa jacobsoni in cells of Apis mellifera
containing one or more mother mites and the distribution of these cells, Journal of Apicultural
Research, 34:4, 187-196 </t>
        </r>
        <r>
          <rPr>
            <b/>
            <sz val="9"/>
            <color indexed="81"/>
            <rFont val="Tahoma"/>
            <family val="2"/>
          </rPr>
          <t xml:space="preserve">
</t>
        </r>
        <r>
          <rPr>
            <sz val="9"/>
            <color indexed="81"/>
            <rFont val="Tahoma"/>
            <family val="2"/>
          </rPr>
          <t xml:space="preserve">Sources of data (need to validate)
Table 4 in Martin 1998 A population model for the ectoparasitic mite Varroa jacobsoni in honey bee (Apis mellifera ) colonies
Donze 1996 Effect of mating frequency and brood cell infestation rate on the reproductive success of the honeybee parasite Varroa jacobsoni
Vandame 2003 Levels of compatibility in a new host–parasite association: Apis mellifera/Varroa jacobsoni
DeGuzman 2007 Growth of Varroa destructor (Acari: Varroidae) Populations in Russian Honey Bee (Hymenoptera: Apidae) Colonies
</t>
        </r>
      </text>
    </comment>
    <comment ref="DB2" authorId="0">
      <text>
        <r>
          <rPr>
            <b/>
            <sz val="9"/>
            <color indexed="81"/>
            <rFont val="Tahoma"/>
            <family val="2"/>
          </rPr>
          <t>Randy Oliver:</t>
        </r>
        <r>
          <rPr>
            <sz val="9"/>
            <color indexed="81"/>
            <rFont val="Tahoma"/>
            <family val="2"/>
          </rPr>
          <t xml:space="preserve">
Theoretical potential repro rate, based upon percent mites in drone brood * repro in drone brood + ditto for worker brood.  Percent mated, as well as mortality of foundresses are calculated elsewhere.</t>
        </r>
      </text>
    </comment>
    <comment ref="DC2" authorId="0">
      <text>
        <r>
          <rPr>
            <b/>
            <sz val="9"/>
            <color indexed="81"/>
            <rFont val="Tahoma"/>
            <family val="2"/>
          </rPr>
          <t>Randy Oliver:</t>
        </r>
        <r>
          <rPr>
            <sz val="9"/>
            <color indexed="81"/>
            <rFont val="Tahoma"/>
            <family val="2"/>
          </rPr>
          <t xml:space="preserve">
This calculation takes care of foundress mortality.  See the calculation at AJ79</t>
        </r>
      </text>
    </comment>
    <comment ref="DD2" authorId="0">
      <text>
        <r>
          <rPr>
            <b/>
            <sz val="9"/>
            <color indexed="81"/>
            <rFont val="Tahoma"/>
            <family val="2"/>
          </rPr>
          <t>Randy Oliver:</t>
        </r>
        <r>
          <rPr>
            <sz val="9"/>
            <color indexed="81"/>
            <rFont val="Tahoma"/>
            <family val="2"/>
          </rPr>
          <t xml:space="preserve">
This figure is to show the most effect times to reduce varroa reproduction</t>
        </r>
      </text>
    </comment>
    <comment ref="DE2" authorId="0">
      <text>
        <r>
          <rPr>
            <b/>
            <sz val="9"/>
            <color indexed="81"/>
            <rFont val="Tahoma"/>
            <family val="2"/>
          </rPr>
          <t>Randy Oliver:</t>
        </r>
        <r>
          <rPr>
            <sz val="9"/>
            <color indexed="81"/>
            <rFont val="Tahoma"/>
            <family val="2"/>
          </rPr>
          <t xml:space="preserve">
Based upon number of potentially fertile mites * potential daily r</t>
        </r>
      </text>
    </comment>
    <comment ref="DG2" authorId="0">
      <text>
        <r>
          <rPr>
            <b/>
            <sz val="9"/>
            <color indexed="81"/>
            <rFont val="Tahoma"/>
            <family val="2"/>
          </rPr>
          <t>Randy Oliver:</t>
        </r>
        <r>
          <rPr>
            <sz val="9"/>
            <color indexed="81"/>
            <rFont val="Tahoma"/>
            <family val="2"/>
          </rPr>
          <t xml:space="preserve">
Unmated mites remain part of the overall mite population, and may invade cells (and contribute to transmission of viruses); but they would be unable to reproduce.  This factor turns out to have a huge effect--the question being, what proportion of the mite population is actually able to reproduce?  Even a small tweak has a huge effect on the rate of mite buildup over the course of a season.</t>
        </r>
      </text>
    </comment>
    <comment ref="DH2" authorId="0">
      <text>
        <r>
          <rPr>
            <b/>
            <sz val="9"/>
            <color indexed="81"/>
            <rFont val="Tahoma"/>
            <family val="2"/>
          </rPr>
          <t>Randy Oliver:</t>
        </r>
        <r>
          <rPr>
            <sz val="9"/>
            <color indexed="81"/>
            <rFont val="Tahoma"/>
            <family val="2"/>
          </rPr>
          <t xml:space="preserve">
See comment at calculation to right</t>
        </r>
      </text>
    </comment>
    <comment ref="DL2" authorId="0">
      <text>
        <r>
          <rPr>
            <b/>
            <sz val="9"/>
            <color indexed="81"/>
            <rFont val="Tahoma"/>
            <family val="2"/>
          </rPr>
          <t>Randy Oliver:</t>
        </r>
        <r>
          <rPr>
            <sz val="9"/>
            <color indexed="81"/>
            <rFont val="Tahoma"/>
            <family val="2"/>
          </rPr>
          <t xml:space="preserve">
We need to account for both increased grooming mortality when mites are moving in and out of brood, and needing to keep switching to younger bees.  The 1% daily mortality figure also results in a number of reproductivve cycles per female as found by Martin &amp; Kemp (1997) Average number of reproductive cycles performed by Varroa jacobsoni in honey bee (Apis
mellifera) colonies. Journal of Apicultural Research 36(3/4): 113–123. </t>
        </r>
      </text>
    </comment>
    <comment ref="DM2" authorId="0">
      <text>
        <r>
          <rPr>
            <b/>
            <sz val="9"/>
            <color indexed="81"/>
            <rFont val="Tahoma"/>
            <family val="2"/>
          </rPr>
          <t>Randy Oliver:</t>
        </r>
        <r>
          <rPr>
            <sz val="9"/>
            <color indexed="81"/>
            <rFont val="Tahoma"/>
            <family val="2"/>
          </rPr>
          <t xml:space="preserve">
Immigration figures are on the Colony tab, column AC.  They are based upon data from Greatti, Sakofski, Mangum, Page, and Frey, which I graphed into smoothed curves.
</t>
        </r>
      </text>
    </comment>
    <comment ref="DN2" authorId="0">
      <text>
        <r>
          <rPr>
            <b/>
            <sz val="9"/>
            <color indexed="81"/>
            <rFont val="Tahoma"/>
            <family val="2"/>
          </rPr>
          <t>Randy Oliver:</t>
        </r>
        <r>
          <rPr>
            <sz val="9"/>
            <color indexed="81"/>
            <rFont val="Tahoma"/>
            <family val="2"/>
          </rPr>
          <t xml:space="preserve">
See "Calculation for mite drift from hive"</t>
        </r>
      </text>
    </comment>
    <comment ref="DR2" authorId="0">
      <text>
        <r>
          <rPr>
            <b/>
            <sz val="9"/>
            <color indexed="81"/>
            <rFont val="Tahoma"/>
            <family val="2"/>
          </rPr>
          <t>Randy Oliver:</t>
        </r>
        <r>
          <rPr>
            <sz val="9"/>
            <color indexed="81"/>
            <rFont val="Tahoma"/>
            <family val="2"/>
          </rPr>
          <t xml:space="preserve">
The percent reduction of the total number of mites in the hive.  I arbitrarily placed this calculation after reproduction and drift.  This calculation is of course simplified, since it assumes that the reduction takes place in one instant, whereas treatments such as thymol affect mite reproduction for at least 20 days.  However, the only values that we'd know to enter would be overall end point calculated efficacy values, so is likely the best we can do.</t>
        </r>
      </text>
    </comment>
    <comment ref="DY2" authorId="0">
      <text>
        <r>
          <rPr>
            <b/>
            <sz val="9"/>
            <color indexed="81"/>
            <rFont val="Tahoma"/>
            <family val="2"/>
          </rPr>
          <t>Randy Oliver:</t>
        </r>
        <r>
          <rPr>
            <sz val="9"/>
            <color indexed="81"/>
            <rFont val="Tahoma"/>
            <family val="2"/>
          </rPr>
          <t xml:space="preserve">
I put in two crash indicators--the first for when the phoretic mite count exceeds the inputted value when the colony has brood present; the other for when there is no brood.</t>
        </r>
      </text>
    </comment>
    <comment ref="EC2" authorId="0">
      <text>
        <r>
          <rPr>
            <b/>
            <sz val="9"/>
            <color indexed="81"/>
            <rFont val="Tahoma"/>
            <family val="2"/>
          </rPr>
          <t>Randy Oliver:</t>
        </r>
        <r>
          <rPr>
            <sz val="9"/>
            <color indexed="81"/>
            <rFont val="Tahoma"/>
            <family val="2"/>
          </rPr>
          <t xml:space="preserve">
Nearly all adult bee mortality occurs outside the hive, so I simply calculated the number of adults dying per period, and used the inputted value at B46 and the phoretic infestation rate to calculate the number of mites lost.</t>
        </r>
      </text>
    </comment>
    <comment ref="EG2" authorId="0">
      <text>
        <r>
          <rPr>
            <b/>
            <sz val="9"/>
            <color indexed="81"/>
            <rFont val="Tahoma"/>
            <family val="2"/>
          </rPr>
          <t>Randy Oliver:</t>
        </r>
        <r>
          <rPr>
            <sz val="9"/>
            <color indexed="81"/>
            <rFont val="Tahoma"/>
            <family val="2"/>
          </rPr>
          <t xml:space="preserve">
See Cervo 2014</t>
        </r>
      </text>
    </comment>
    <comment ref="EH2" authorId="0">
      <text>
        <r>
          <rPr>
            <b/>
            <sz val="9"/>
            <color indexed="81"/>
            <rFont val="Tahoma"/>
            <family val="2"/>
          </rPr>
          <t>Randy Oliver:</t>
        </r>
        <r>
          <rPr>
            <sz val="9"/>
            <color indexed="81"/>
            <rFont val="Tahoma"/>
            <family val="2"/>
          </rPr>
          <t xml:space="preserve">
Kralj 2006 From 9-30% of exiting infested bees do not return.</t>
        </r>
      </text>
    </comment>
    <comment ref="EK2" authorId="0">
      <text>
        <r>
          <rPr>
            <b/>
            <sz val="9"/>
            <color indexed="81"/>
            <rFont val="Tahoma"/>
            <family val="2"/>
          </rPr>
          <t>Randy Oliver:</t>
        </r>
        <r>
          <rPr>
            <sz val="9"/>
            <color indexed="81"/>
            <rFont val="Tahoma"/>
            <family val="2"/>
          </rPr>
          <t xml:space="preserve">
I now see that this needs to be recalculated to reflect the percentage of mites that have survived to complete 3 reproductive cycles, based upon the appropriate phoretic period and natural mortality.
Adjustment for aging mite population:  Stephen Martin (pers comm) suggests that as the mite population increases, that the proportion of  unfertilized or reproductively "spent" mites increases.  Although these mites would still be detected in an alcohol wash, and would likely continue to invade brood cells, their rate of successful reproduction would decrease.  This would lower the proportional rate of mite reproductive success.  However, the reason(s) for nonreproducing mites are poorly understood (see  Garrido &amp; Rosenkranz 2003; Kirrane 2011). 
De Ruijter (1987) found that a mite has the potential complete 6 reproductive cycles.  However, few mites likely do so.
Donze (1996) found that a well-mated mite holds ~30 spermatozoa in her spermatheca.
Since a mite typically lays 4 eggs per cycle, it appears that a single spermatazoan is used to fertilize each egg.
Assuming that a very successful female mite completes a reproductive cycle every 15 days, by 75 days she'd have completed 5 cycles, so I'll use the arbitrary number of 75 days of age to classify a female mite as "spent," and I created the table below to account for this.
.</t>
        </r>
      </text>
    </comment>
    <comment ref="EL2" authorId="0">
      <text>
        <r>
          <rPr>
            <b/>
            <sz val="9"/>
            <color indexed="81"/>
            <rFont val="Tahoma"/>
            <family val="2"/>
          </rPr>
          <t>Randy Oliver:</t>
        </r>
        <r>
          <rPr>
            <sz val="9"/>
            <color indexed="81"/>
            <rFont val="Tahoma"/>
            <family val="2"/>
          </rPr>
          <t xml:space="preserve">
Values from the mite aging table below, based upon an arbitrary assumption that mites over 75 days of age are likely to be non reproductive.
Values from the mite aging table below, based upon an arbitrary assumption that mites over 75 days of age are likely to be non reproductive.  See Häußermann (2018) Spermatozoa production in male Varroa destructor and its impact on reproduction in worker brood of Apis mellifera.  Exp Appl Acarol  74:43–54.
Perhaps the 75-day figure should be decreased to 60 days, since that would more accurately reflect 3 reproductive cycles.  But when I do so, it drops the overall r value a bit too low.</t>
        </r>
      </text>
    </comment>
    <comment ref="BC3" authorId="0">
      <text>
        <r>
          <rPr>
            <b/>
            <sz val="9"/>
            <color indexed="81"/>
            <rFont val="Tahoma"/>
            <family val="2"/>
          </rPr>
          <t>Randy Oliver:</t>
        </r>
        <r>
          <rPr>
            <sz val="9"/>
            <color indexed="81"/>
            <rFont val="Tahoma"/>
            <family val="2"/>
          </rPr>
          <t xml:space="preserve">
See comment at calculation</t>
        </r>
      </text>
    </comment>
    <comment ref="BI21" authorId="0">
      <text>
        <r>
          <rPr>
            <b/>
            <sz val="9"/>
            <color indexed="81"/>
            <rFont val="Tahoma"/>
            <family val="2"/>
          </rPr>
          <t>Randy Oliver:</t>
        </r>
        <r>
          <rPr>
            <sz val="9"/>
            <color indexed="81"/>
            <rFont val="Tahoma"/>
            <family val="2"/>
          </rPr>
          <t xml:space="preserve">
If 80% of the mites are in the brood, and if 70% of the workers leave with the swarm, the swarm would carry only about 15% of the mites, leaving 85% behind.  Wilde found that swarms carried roughly 25% of the mites.
Jerzy Wilde, Stefan Fuchs, Janusz Bratkowski &amp; Maciej Siuda (2005) Distribution of</t>
        </r>
        <r>
          <rPr>
            <i/>
            <sz val="9"/>
            <color indexed="81"/>
            <rFont val="Tahoma"/>
            <family val="2"/>
          </rPr>
          <t xml:space="preserve"> Varroa destructor </t>
        </r>
        <r>
          <rPr>
            <sz val="9"/>
            <color indexed="81"/>
            <rFont val="Tahoma"/>
            <family val="2"/>
          </rPr>
          <t>between swarms and colonies, Journal of Apicultural Research 44:4, 190-194.
However, Seeley's work suggests a greater overall reduction in varroa from swarming, likely due to the effect of the brood break (or perhaps afterswarming).  My calcs suggest a maximum eventual setback of mite population by at max 60%.
Seeley, TD &amp; ML Smith (2015) Crowding honeybee colonies in apiaries can increase their vulnerability to the deadly ectoparasite Varroa destructor.  Apidologie 46:716–727.</t>
        </r>
      </text>
    </comment>
    <comment ref="BU36" authorId="0">
      <text>
        <r>
          <rPr>
            <b/>
            <sz val="9"/>
            <color indexed="81"/>
            <rFont val="Tahoma"/>
            <family val="2"/>
          </rPr>
          <t>Randy Oliver:</t>
        </r>
        <r>
          <rPr>
            <sz val="9"/>
            <color indexed="81"/>
            <rFont val="Tahoma"/>
            <family val="2"/>
          </rPr>
          <t xml:space="preserve">
365/24 intervals</t>
        </r>
      </text>
    </comment>
    <comment ref="BE38" authorId="0">
      <text>
        <r>
          <rPr>
            <b/>
            <sz val="9"/>
            <color indexed="81"/>
            <rFont val="Tahoma"/>
            <family val="2"/>
          </rPr>
          <t>Randy Oliver:</t>
        </r>
        <r>
          <rPr>
            <sz val="9"/>
            <color indexed="81"/>
            <rFont val="Tahoma"/>
            <family val="2"/>
          </rPr>
          <t xml:space="preserve">
Advanced users can input custom values for sensitivity analyses.</t>
        </r>
      </text>
    </comment>
    <comment ref="AZ40" authorId="0">
      <text>
        <r>
          <rPr>
            <b/>
            <sz val="9"/>
            <color indexed="81"/>
            <rFont val="Tahoma"/>
            <family val="2"/>
          </rPr>
          <t xml:space="preserve">Randy Oliver:
</t>
        </r>
        <r>
          <rPr>
            <sz val="9"/>
            <color indexed="81"/>
            <rFont val="Tahoma"/>
            <family val="2"/>
          </rPr>
          <t>This number is often referred to as "fitness."  A foundress mite in a worker cell has the potential of producing a little over 2 daughters, but various studies indicate that the observed number is typically lower.
See Dr. Stephen Martin's graph on the "Relative Rates of Increase" tab, plus: 
Al Ghamdi, A and R Hoopingarner  (2003) Reproductive Biology of Varroa jacobsoni Oud. in Worker and Drone Brood of the Honey 
Bee Apis mellifera L. under Michigan Conditions. Pakistan Journal of Biological Sciences 6 (8): 756-761.
 Kuster( 2014) Immunogene and viral transcript dynamics during parasitic Varroa destructor mite infection of developing honey bee
(Apis mellifera) pupae.
 doi:10.1242/jeb.097766)
A more recent review is Xie, X. et al.  (2016) Why do Varroa mites prefer nurse bees? Sci. Rep. 6, 28228; doi: 10.1038/srep28228.</t>
        </r>
      </text>
    </comment>
    <comment ref="AW41" authorId="0">
      <text>
        <r>
          <rPr>
            <b/>
            <sz val="9"/>
            <color indexed="81"/>
            <rFont val="Tahoma"/>
            <family val="2"/>
          </rPr>
          <t>Randy Oliver:</t>
        </r>
        <r>
          <rPr>
            <sz val="9"/>
            <color indexed="81"/>
            <rFont val="Tahoma"/>
            <family val="2"/>
          </rPr>
          <t xml:space="preserve">
I've intentionally simplified these first two variables (no. of daughters and % mated), since they reflect the end outcomes of foundresses that fail to lay any eggs, produce only males, or in which the male dies or fails to inseminate his sisters.  See Martin, S, et al (1997 Non-reproduction in the honeybee mite </t>
        </r>
        <r>
          <rPr>
            <i/>
            <sz val="9"/>
            <color indexed="81"/>
            <rFont val="Tahoma"/>
            <family val="2"/>
          </rPr>
          <t xml:space="preserve">Varroa jacobsoni.  </t>
        </r>
        <r>
          <rPr>
            <sz val="9"/>
            <color indexed="81"/>
            <rFont val="Tahoma"/>
            <family val="2"/>
          </rPr>
          <t>Experimental &amp; Applied Acarology 21: 539–549.
These variables could certainly be expanded to look more specifically at resistance mechanisms, but the net outcome is reflected in the net effective reproductive rate to the right.</t>
        </r>
        <r>
          <rPr>
            <sz val="9"/>
            <color indexed="81"/>
            <rFont val="Tahoma"/>
            <family val="2"/>
          </rPr>
          <t xml:space="preserve">
</t>
        </r>
      </text>
    </comment>
    <comment ref="BE44" authorId="0">
      <text>
        <r>
          <rPr>
            <b/>
            <sz val="9"/>
            <color indexed="81"/>
            <rFont val="Tahoma"/>
            <family val="2"/>
          </rPr>
          <t>Randy Oliver:</t>
        </r>
        <r>
          <rPr>
            <sz val="9"/>
            <color indexed="81"/>
            <rFont val="Tahoma"/>
            <family val="2"/>
          </rPr>
          <t xml:space="preserve">
The 0.005 figure is from Martin's review;  more recently, Desiai estimated 0.0025-0.004 daily winter mortality during winter.
 Desai (2014) The potential impact of pathogens on honey bee, Apis mellifera L., colonies and possibilities for their control Fig. 4.5.
</t>
        </r>
      </text>
    </comment>
    <comment ref="BB45" authorId="0">
      <text>
        <r>
          <rPr>
            <b/>
            <sz val="9"/>
            <color indexed="81"/>
            <rFont val="Tahoma"/>
            <family val="2"/>
          </rPr>
          <t>Randy Oliver:</t>
        </r>
        <r>
          <rPr>
            <sz val="9"/>
            <color indexed="81"/>
            <rFont val="Tahoma"/>
            <family val="2"/>
          </rPr>
          <t xml:space="preserve">
(0-7%, after Andino 2011) (successful mites must continually switch to younger workers as their "rides" age and fly off to die, or as their host bee's fat bodies are depleted).  
</t>
        </r>
        <r>
          <rPr>
            <b/>
            <sz val="9"/>
            <color indexed="81"/>
            <rFont val="Tahoma"/>
            <family val="2"/>
          </rPr>
          <t>Caveat:</t>
        </r>
        <r>
          <rPr>
            <sz val="9"/>
            <color indexed="81"/>
            <rFont val="Tahoma"/>
            <family val="2"/>
          </rPr>
          <t xml:space="preserve">  Once this value increases to even 1% daily mortality, it is difficult for varroa to reproduce fast enough to match that daily mortality rate.  Thus, I question whether there is an appreciably increased grooming rate in any colony that exhibits </t>
        </r>
        <r>
          <rPr>
            <i/>
            <sz val="9"/>
            <color indexed="81"/>
            <rFont val="Tahoma"/>
            <family val="2"/>
          </rPr>
          <t>any</t>
        </r>
        <r>
          <rPr>
            <sz val="9"/>
            <color indexed="81"/>
            <rFont val="Tahoma"/>
            <family val="2"/>
          </rPr>
          <t xml:space="preserve"> sort of mite buildup.  Note the even with the extremely vigorous self- and allo-grooming of </t>
        </r>
        <r>
          <rPr>
            <i/>
            <sz val="9"/>
            <color indexed="81"/>
            <rFont val="Tahoma"/>
            <family val="2"/>
          </rPr>
          <t>Apis cerana</t>
        </r>
        <r>
          <rPr>
            <sz val="9"/>
            <color indexed="81"/>
            <rFont val="Tahoma"/>
            <family val="2"/>
          </rPr>
          <t>, the daily mortality rate of dispersing mites remains low.
See recent research by Desai (comment below), as well as that by the Perdue lab and the "mite biters."
This figure could also be used to account for the additional mortality of emerging workers and foundresses immediately upon emergence, prior to them settling in to their dispersal phase.  E.g., assuming a 17-day reproductive cycle, you'd divide that one-time mortality per cycle by 17 and add it to the daily mortality.  E.g., if you assume 10% mortality immediately upon emergence, 10%/17 = 0.0059, for an overall daily mortality of 1.1%, assuming that all the mites would be engaging in reproduction).
We clearly need more research to quantify the effect of apparent increased grooming behaviorand "mite biting" upon the daily mortality rate of phoretic mites.</t>
        </r>
      </text>
    </comment>
    <comment ref="BZ45" authorId="0">
      <text>
        <r>
          <rPr>
            <b/>
            <sz val="9"/>
            <color indexed="81"/>
            <rFont val="Tahoma"/>
            <family val="2"/>
          </rPr>
          <t>Randy Oliver:</t>
        </r>
        <r>
          <rPr>
            <sz val="9"/>
            <color indexed="81"/>
            <rFont val="Tahoma"/>
            <family val="2"/>
          </rPr>
          <t xml:space="preserve">
When I was reviewing data sets from Katie Lee, Eva Frey, and Bob Danka, I noticed that the percent of brood cells invaded increased linearly with the percentage infestation rate of adults, but at a slope of 2.  I haven't seen this finding published elsewhere, but included it in the model, as it effects the rate of multiple invasions into cells.</t>
        </r>
      </text>
    </comment>
    <comment ref="BG46" authorId="0">
      <text>
        <r>
          <rPr>
            <b/>
            <sz val="9"/>
            <color indexed="81"/>
            <rFont val="Tahoma"/>
            <family val="2"/>
          </rPr>
          <t>Randy Oliver:</t>
        </r>
        <r>
          <rPr>
            <sz val="9"/>
            <color indexed="81"/>
            <rFont val="Tahoma"/>
            <family val="2"/>
          </rPr>
          <t xml:space="preserve">
 Guesstimate supported by Kraus 1993, Cervo 2014, DeGrandi-Hoffman 2016.  My own tests (2) suggest 0.5-1).  
My analysis of Xie's Fig. 1 suggests that on average, the figure would be 75%.
Xie, X. et al. Why do Varroa mites prefer nurse bees? Sci. Rep. 6, 28228; doi: 10.1038/srep28228 (2016).</t>
        </r>
      </text>
    </comment>
    <comment ref="BF47" authorId="0">
      <text>
        <r>
          <rPr>
            <b/>
            <sz val="9"/>
            <color indexed="81"/>
            <rFont val="Tahoma"/>
            <family val="2"/>
          </rPr>
          <t>Randy Oliver:</t>
        </r>
        <r>
          <rPr>
            <sz val="9"/>
            <color indexed="81"/>
            <rFont val="Tahoma"/>
            <family val="2"/>
          </rPr>
          <t xml:space="preserve">
When I reviewed Boot's data, I could see that his findings have been widely misinterpreted.  The factor 5 likely applies for "normal" mite infestation rates. And even that number may be an overestimate based upon my dissection of drone trap frames in April--varroa is evolving to adapt to the Western Honey Bee, and may be losing its preference for drone brood.</t>
        </r>
      </text>
    </comment>
    <comment ref="BD48" authorId="0">
      <text>
        <r>
          <rPr>
            <b/>
            <sz val="9"/>
            <color indexed="81"/>
            <rFont val="Tahoma"/>
            <family val="2"/>
          </rPr>
          <t>Randy Oliver:</t>
        </r>
        <r>
          <rPr>
            <sz val="9"/>
            <color indexed="81"/>
            <rFont val="Tahoma"/>
            <family val="2"/>
          </rPr>
          <t xml:space="preserve">
In some mite-resistant colonies, the phoretic period of questing mites appears to be increased.  This may have to do with the attractiveness of 5th-instar larvae to questing mites.  The trait appears to be highly heritable (refer to Table 2 in Harbo, JR &amp; JW Harris (1999) Selecting honey bees for resistance to Varroa jacobsoni. Apidologie 30: 183-196
Their data suggest that the in some colonies, the longer phoretic period results in a reduced proportion of mite in the brood.  Their data in Table 2 suggests that you could increase this value by as much as 25 days (that would likely be an extreme value).
See Vandame 2003 Levels of compatibility in a new host–parasite association: Apis mellifera/Varroa jacobsoni.  The EHB had longer phoretic:brood ratio and low r value.
</t>
        </r>
        <r>
          <rPr>
            <b/>
            <sz val="9"/>
            <color indexed="81"/>
            <rFont val="Tahoma"/>
            <family val="2"/>
          </rPr>
          <t>The model is extremely sensitive to adjustments in this value!</t>
        </r>
        <r>
          <rPr>
            <sz val="9"/>
            <color indexed="81"/>
            <rFont val="Tahoma"/>
            <family val="2"/>
          </rPr>
          <t xml:space="preserve">
</t>
        </r>
      </text>
    </comment>
  </commentList>
</comments>
</file>

<file path=xl/sharedStrings.xml><?xml version="1.0" encoding="utf-8"?>
<sst xmlns="http://schemas.openxmlformats.org/spreadsheetml/2006/main" count="880" uniqueCount="385">
  <si>
    <t>DATE</t>
  </si>
  <si>
    <t>Two 50-g Apiguard treatments at 10 days, in a rim</t>
  </si>
  <si>
    <t>D</t>
  </si>
  <si>
    <t>80-95</t>
  </si>
  <si>
    <t>Oxalic dribble or vapor, when broodless</t>
  </si>
  <si>
    <t>15-20</t>
  </si>
  <si>
    <t>Constant for cell invasion rate equation; a lower value increases the mite r.</t>
  </si>
  <si>
    <t>Calculated adult bees</t>
  </si>
  <si>
    <t>Brood: bee ratio</t>
  </si>
  <si>
    <t>Calculated cells of brood*</t>
  </si>
  <si>
    <t>8-day larvae</t>
  </si>
  <si>
    <t>Number mites phoretic</t>
  </si>
  <si>
    <t>Inf rate on adults</t>
  </si>
  <si>
    <t>Cells of worker brood for a frame 65% covered with brood</t>
  </si>
  <si>
    <t>Adult bees per covered frame (total, both sides), approx. 1/2 lb</t>
  </si>
  <si>
    <t>Calculations of r</t>
  </si>
  <si>
    <t>r(cycle) =</t>
  </si>
  <si>
    <t>r(day)</t>
  </si>
  <si>
    <t>Worker</t>
  </si>
  <si>
    <t>Drone</t>
  </si>
  <si>
    <t xml:space="preserve">Assume </t>
  </si>
  <si>
    <t>daughters</t>
  </si>
  <si>
    <t>survival of emerging foundress</t>
  </si>
  <si>
    <t xml:space="preserve">Assume  </t>
  </si>
  <si>
    <t>reproductive success</t>
  </si>
  <si>
    <t>reproductive success (Martin)</t>
  </si>
  <si>
    <t>r(cycle)=</t>
  </si>
  <si>
    <t>theor max r(day)=</t>
  </si>
  <si>
    <t>per day</t>
  </si>
  <si>
    <t>survorship</t>
  </si>
  <si>
    <t>Martin's value 0.5%/day</t>
  </si>
  <si>
    <t xml:space="preserve"> = r(phoretic mort)</t>
  </si>
  <si>
    <t>percent 100-day survivorship</t>
  </si>
  <si>
    <t>Compare to some r values from the literature</t>
  </si>
  <si>
    <t>Days phoretic</t>
  </si>
  <si>
    <t>Source</t>
  </si>
  <si>
    <t>Danka 1999  16 day</t>
  </si>
  <si>
    <t xml:space="preserve">To double the mite pop each month </t>
  </si>
  <si>
    <t>Date</t>
  </si>
  <si>
    <t>Observed number of frames containing brood (assume mean 65% cover)</t>
  </si>
  <si>
    <t>% of brood that is drone (10% max, occurring only during intense pollen flow)</t>
  </si>
  <si>
    <t>S</t>
  </si>
  <si>
    <t>Calc'd number of adult bees</t>
  </si>
  <si>
    <t>Calc'd number of cells of brood</t>
  </si>
  <si>
    <t>Immigration setting</t>
  </si>
  <si>
    <t>Insert "1" if period too cold for foraging (little broodrearing)</t>
  </si>
  <si>
    <t>Insert "1" if period has a strong pollen/ nectar flow (heavy broodrearing and drone production)</t>
  </si>
  <si>
    <t>INSTRUCTIONS FOR CUSTOMIZATION OF COLONY FOR LOCAL CONDITIONS, MANAGEMENT, SWARMING, ETC.</t>
  </si>
  <si>
    <t>You have the option to customize your colony.  You may change the value in any</t>
  </si>
  <si>
    <t>yellow cell</t>
  </si>
  <si>
    <t>below.</t>
  </si>
  <si>
    <t>Go to the appropriate customization table in Column B.  Your choices are:</t>
  </si>
  <si>
    <t>N</t>
  </si>
  <si>
    <t>P</t>
  </si>
  <si>
    <t>A</t>
  </si>
  <si>
    <t>B</t>
  </si>
  <si>
    <t>C</t>
  </si>
  <si>
    <t>R</t>
  </si>
  <si>
    <t>F</t>
  </si>
  <si>
    <t>Default curve (not customizable) for reference.</t>
  </si>
  <si>
    <r>
      <t>Starting with a 3-lb package (typical starting mite counts range from 12</t>
    </r>
    <r>
      <rPr>
        <sz val="10"/>
        <rFont val="Calibri"/>
        <family val="2"/>
      </rPr>
      <t>–</t>
    </r>
    <r>
      <rPr>
        <sz val="10"/>
        <rFont val="Arial"/>
        <family val="2"/>
      </rPr>
      <t>600 mites; enter that value on the Home Page)</t>
    </r>
  </si>
  <si>
    <t>Yours to customize.</t>
  </si>
  <si>
    <t>Starting with a nuc (typically 4-5 frames of bees, 1-3 frames of brood)</t>
  </si>
  <si>
    <t>Randy's almond bees, split 4 ways in late March.</t>
  </si>
  <si>
    <t>California almond pollinator, managed for 8-frame strength going into bloom, 5 lbs of bees shaken twice in April.</t>
  </si>
  <si>
    <t>Colony that swarms in April.</t>
  </si>
  <si>
    <t>Feral colony in 40-liter cavity, swarming twice (after Loftus 2016 doi:10.1371/
journal.pone.0150362).</t>
  </si>
  <si>
    <t>First, insert values for cold temperature (Col. C), a strong pollen flow, or high temperature.  These environmental conditions will show</t>
  </si>
  <si>
    <t xml:space="preserve">on the graph to the right, and help you to plot the adult bee, brood, and drone brood values (colonies generally only grow during pollen flows).  </t>
  </si>
  <si>
    <t>By watching the growth curves in the graph, you can then smooth out your entered values.</t>
  </si>
  <si>
    <t>The number of frames fully-covered with adult bees comes from personal observation, as does the number of frames of brood.</t>
  </si>
  <si>
    <t>Be aware that most beekeepers will overestimate the strength of their hives--few colonies grow to over 25 frames of adults (22.5 frames is more reasonable).</t>
  </si>
  <si>
    <t xml:space="preserve">/day, times 20 days for development, can produce a maximum of </t>
  </si>
  <si>
    <t>*A spectacular queen may lay 2000 eggs/day (2500 for short bursts); a poorer queen 1000.</t>
  </si>
  <si>
    <t>Ditto for amount of brood.  A good queen* laying eggs at the rate of:</t>
  </si>
  <si>
    <t>a maximum population of around</t>
  </si>
  <si>
    <t>bees, which equals roughly</t>
  </si>
  <si>
    <t>frames of bees (this would be an exceptionally large colony, typically occurring only in the upper Midwest or Canada).</t>
  </si>
  <si>
    <t>Important note: if your custom colony swarms or is split, you need to enter the degree of mite reduction at that time as a Treatment (on the Home page).</t>
  </si>
  <si>
    <t>Suggestions: hold the pointer over any data point on a curve, and it will tell you which cell value it refers to.  You can then change that cell value to smooth your curve.</t>
  </si>
  <si>
    <t>(suggest 1500)</t>
  </si>
  <si>
    <t>Note: a crowded hive (such as prior to swarming) may contain more than 2000 bees/frame--up to 2500, so a double deep may contain more than 20 frame's worth of bees.</t>
  </si>
  <si>
    <r>
      <t>Once a colony reaches 6 frames of brood (8-10 frames covered with bees), it grows linearly at the rate of approx.</t>
    </r>
    <r>
      <rPr>
        <b/>
        <sz val="10"/>
        <rFont val="Arial"/>
        <family val="2"/>
      </rPr>
      <t xml:space="preserve"> 4-8 frames of adult bees/period</t>
    </r>
    <r>
      <rPr>
        <sz val="10"/>
        <rFont val="Arial"/>
        <family val="2"/>
      </rPr>
      <t xml:space="preserve"> (see calcs on the Colony Growth Rate tab) until it reaches its top out population of roughly 35x the number of eggs laid per day after roughly 10-11 weeks, thus</t>
    </r>
  </si>
  <si>
    <t>d</t>
  </si>
  <si>
    <t>Check: Calc'd egglaying rate per day (over 1500 suggests overestimation of brood frames)</t>
  </si>
  <si>
    <t>Check: Est. increase per day once 4 frames of brood is 400-500 for 5 periods, then top out</t>
  </si>
  <si>
    <t>Observed number of frames covered with bees.  Steady during winter, drops during spring turnover, then increases by roughly 4 frames per period until typ. 22-33 (max)</t>
  </si>
  <si>
    <t>% drone brood x 10 (for plotting purposes)</t>
  </si>
  <si>
    <t>r</t>
  </si>
  <si>
    <t>Traynor % * 315</t>
  </si>
  <si>
    <t>All values are means for each 15-day period</t>
  </si>
  <si>
    <t>Calc'd total number of pupae</t>
  </si>
  <si>
    <t>Entered frames covered with adult bees</t>
  </si>
  <si>
    <t>Entered frames of brood</t>
  </si>
  <si>
    <t>% mites in brood</t>
  </si>
  <si>
    <t xml:space="preserve">% mites phoretic </t>
  </si>
  <si>
    <t>Cells sealed worker brood</t>
  </si>
  <si>
    <t>Cells of sealed brood</t>
  </si>
  <si>
    <t>Mean mite repro cycle (in worker brood)</t>
  </si>
  <si>
    <t>Number of mites in brood</t>
  </si>
  <si>
    <t>Mites in drone brood</t>
  </si>
  <si>
    <t>Mites in worker brood</t>
  </si>
  <si>
    <t>Est  % repro mites in worker brood</t>
  </si>
  <si>
    <t>Mean days in mite repro cycle in drone brood</t>
  </si>
  <si>
    <t>Mean days in mite repro cycle in worker brood</t>
  </si>
  <si>
    <t>R(cycle)=</t>
  </si>
  <si>
    <t>17-day cycle</t>
  </si>
  <si>
    <t>Assume</t>
  </si>
  <si>
    <t>Colony tab inputs &amp; conversions</t>
  </si>
  <si>
    <t>Calculated values</t>
  </si>
  <si>
    <t>Drone brood calcs</t>
  </si>
  <si>
    <t>Worker brood calcs</t>
  </si>
  <si>
    <t>Don't move</t>
  </si>
  <si>
    <t>Selected mite immigration</t>
  </si>
  <si>
    <t>Alcohol wash of 1/2 cup of young bees</t>
  </si>
  <si>
    <t>Mean mites per sealed drone cell</t>
  </si>
  <si>
    <t>Mean mites per sealed worker cell</t>
  </si>
  <si>
    <t>(1 foundress+(expected no. of daughters * repro success))*chance of each reinvading. The result is lower than Martin's, but results in a realistic r of 0.024 for a 17-day cycle</t>
  </si>
  <si>
    <t xml:space="preserve">Drone cell mean number of daughters/cycle </t>
  </si>
  <si>
    <t>r per day of mites in drone cells</t>
  </si>
  <si>
    <t>R per cycle</t>
  </si>
  <si>
    <t>r per day for mites in worker cells</t>
  </si>
  <si>
    <t>% of all mites in worker brood</t>
  </si>
  <si>
    <t xml:space="preserve">r(17 day) </t>
  </si>
  <si>
    <t>Calc'd r(day) in cell.  Do not modify this cell.</t>
  </si>
  <si>
    <t>Approx number of bee adults emerging per period</t>
  </si>
  <si>
    <t>Change in adult bee population per period</t>
  </si>
  <si>
    <t>Number of mites lost to treatment</t>
  </si>
  <si>
    <t>Calc'd r per cycle</t>
  </si>
  <si>
    <t>Calc'd R per cycle</t>
  </si>
  <si>
    <t>Worker cell mean number of daughters/cycle (typ 1.25-1.45 in various studies)</t>
  </si>
  <si>
    <t>Vandame Mexico EHB</t>
  </si>
  <si>
    <t>Infestation rate of outgoing bees relative to all adults.  Guesstimate supported by Kraus 1993, Cervo 2014, DeGrandi-Hoffman 2015.  My own tests (2) suggest 0.5-1).</t>
  </si>
  <si>
    <t>Number (-) of mites carried out on non returning bees</t>
  </si>
  <si>
    <t>Start Date of Period</t>
  </si>
  <si>
    <t>Density adj for no. of daughters</t>
  </si>
  <si>
    <t>Percent drone cells invaded</t>
  </si>
  <si>
    <t>Percent worker cells invaded</t>
  </si>
  <si>
    <t>Mean mites per invaded worker cell</t>
  </si>
  <si>
    <t>Mean mites per invaded drone cell</t>
  </si>
  <si>
    <t>Estimated % of mites phoretic (for treatment efficacy calcs)</t>
  </si>
  <si>
    <t>Max</t>
  </si>
  <si>
    <t>Estimated % of worker cells invaded (typ. collapse if &gt;30%)</t>
  </si>
  <si>
    <t>Approx days phoretic (after Boot)</t>
  </si>
  <si>
    <t>Complete removal of drone brood, if done early in the season, each removal</t>
  </si>
  <si>
    <t>Cal'd  worker pupae parasitized</t>
  </si>
  <si>
    <t>r values</t>
  </si>
  <si>
    <t xml:space="preserve"> Refer to the table below to see how long it takes for the mite population to double at decreasing r values.</t>
  </si>
  <si>
    <t>Days to double the mite pop</t>
  </si>
  <si>
    <t>Mite pop</t>
  </si>
  <si>
    <t>Mite gain</t>
  </si>
  <si>
    <t>Mite Loss</t>
  </si>
  <si>
    <r>
      <rPr>
        <b/>
        <sz val="10"/>
        <rFont val="Arial"/>
        <family val="2"/>
      </rPr>
      <t>TREATMENT EFFICACIES</t>
    </r>
    <r>
      <rPr>
        <sz val="10"/>
        <rFont val="Arial"/>
        <family val="2"/>
      </rPr>
      <t xml:space="preserve"> (approximate overall percentage reduction).  Note: once the percent of infested brood approaches 30%, even with a very effective treatment, it may take a long time for a colony to recover from the in-hive DWV epidemic, largely dependent upon the amount of broodrearing (thus a poorer chance of recovery late in the season).</t>
    </r>
  </si>
  <si>
    <r>
      <t xml:space="preserve">The daily rate of mite </t>
    </r>
    <r>
      <rPr>
        <b/>
        <i/>
        <sz val="10"/>
        <rFont val="Arial"/>
        <family val="2"/>
      </rPr>
      <t>increase</t>
    </r>
    <r>
      <rPr>
        <sz val="10"/>
        <rFont val="Arial"/>
        <family val="2"/>
      </rPr>
      <t xml:space="preserve"> during the colony's linear buildup phase, for non-resistant commercial stock, is typically in the 0.015-0.023 range (but can reach 0.030 with immigration).</t>
    </r>
  </si>
  <si>
    <t>Varroa pop at start of period</t>
  </si>
  <si>
    <t>% multiplier for mites on exiting bees</t>
  </si>
  <si>
    <t>The issuance of a spring prime swarm</t>
  </si>
  <si>
    <t xml:space="preserve">It's all about the "r value"--average daily r for 15 Apr–15 Sep in this simulation equals </t>
  </si>
  <si>
    <r>
      <t xml:space="preserve">Important note: </t>
    </r>
    <r>
      <rPr>
        <sz val="10"/>
        <rFont val="Arial"/>
        <family val="2"/>
      </rPr>
      <t>the mite r value is density dependent--the more mites, the slower their growth.  Make sure that you check your r value with a low starting mite level.</t>
    </r>
  </si>
  <si>
    <t>Calc'd percent reduction due to swarm of 70%</t>
  </si>
  <si>
    <t>P: Package bee colony (3 lb), installed on drawn comb and fed well</t>
  </si>
  <si>
    <t>B: High latitude colony--short summer, long winter brood break</t>
  </si>
  <si>
    <t xml:space="preserve">F: Feral hive restricted to a 40-liter cavity (1 Langstroth deep), swarming twice </t>
  </si>
  <si>
    <t>C: California 8-frame almond colony shaken twice in April.   Enter a 25% "treatment" in April to account for mites lost on shook bees</t>
  </si>
  <si>
    <t>Months with brood</t>
  </si>
  <si>
    <t>daily mite mort</t>
  </si>
  <si>
    <t>mite decrease r(day)</t>
  </si>
  <si>
    <t>mite increase r(day)</t>
  </si>
  <si>
    <t>r value</t>
  </si>
  <si>
    <t>% reduction by treatment</t>
  </si>
  <si>
    <t>Month</t>
  </si>
  <si>
    <t>Defaults</t>
  </si>
  <si>
    <r>
      <rPr>
        <sz val="10"/>
        <rFont val="Wingdings"/>
        <charset val="2"/>
      </rPr>
      <t>é</t>
    </r>
    <r>
      <rPr>
        <sz val="10"/>
        <rFont val="Arial"/>
        <family val="2"/>
      </rPr>
      <t xml:space="preserve"> </t>
    </r>
    <r>
      <rPr>
        <b/>
        <sz val="10"/>
        <rFont val="Arial"/>
        <family val="2"/>
      </rPr>
      <t xml:space="preserve">       Enter % reduction due to treatment above</t>
    </r>
  </si>
  <si>
    <r>
      <rPr>
        <sz val="10"/>
        <rFont val="Wingdings"/>
        <charset val="2"/>
      </rPr>
      <t>é</t>
    </r>
    <r>
      <rPr>
        <sz val="10"/>
        <rFont val="Arial"/>
        <family val="2"/>
      </rPr>
      <t xml:space="preserve">        </t>
    </r>
    <r>
      <rPr>
        <b/>
        <sz val="10"/>
        <rFont val="Arial"/>
        <family val="2"/>
      </rPr>
      <t>Enter months with brood above</t>
    </r>
  </si>
  <si>
    <t>Not necessary to adjust these cells, but you can do it to see the effect of resistance traits upon mite success at reproduction, or increased grooming behavior.</t>
  </si>
  <si>
    <t>Daily r for broodless phoretic mortality. Do not modify this cell.  See Calatayub 1995</t>
  </si>
  <si>
    <t>New mites</t>
  </si>
  <si>
    <t>Mites more than 75 days old</t>
  </si>
  <si>
    <t>% of total mite pop &gt;75 days old</t>
  </si>
  <si>
    <t>Adjustment of r due to aging mites</t>
  </si>
  <si>
    <t>Kill</t>
  </si>
  <si>
    <t>Old mites</t>
  </si>
  <si>
    <t>Total mites</t>
  </si>
  <si>
    <t>% old</t>
  </si>
  <si>
    <t>Start Date</t>
  </si>
  <si>
    <t>Blue-shaded cells are mites &gt; 75 days old</t>
  </si>
  <si>
    <t>Amt brood</t>
  </si>
  <si>
    <t>Typical survival of pupa to adult</t>
  </si>
  <si>
    <t>Overall fold increase in mite pop</t>
  </si>
  <si>
    <r>
      <rPr>
        <sz val="10"/>
        <rFont val="Wingdings"/>
        <charset val="2"/>
      </rPr>
      <t>é</t>
    </r>
    <r>
      <rPr>
        <sz val="10"/>
        <rFont val="Arial"/>
        <family val="2"/>
      </rPr>
      <t xml:space="preserve"> </t>
    </r>
    <r>
      <rPr>
        <b/>
        <sz val="10"/>
        <rFont val="Arial"/>
        <family val="2"/>
      </rPr>
      <t xml:space="preserve">                          For sustainability, need to reduce to 1</t>
    </r>
  </si>
  <si>
    <t>See below for adult mite survivorship curve when no broodrearing</t>
  </si>
  <si>
    <t>Mite immi- gration from drift</t>
  </si>
  <si>
    <t>Increase this value to see the effect of increased grooming behavior.</t>
  </si>
  <si>
    <t>Enter value for percent daily mite mortality (0.5% typical) (format for entry 0.005 for 0.5% per day)</t>
  </si>
  <si>
    <r>
      <rPr>
        <b/>
        <sz val="10"/>
        <rFont val="Arial"/>
        <family val="2"/>
      </rPr>
      <t xml:space="preserve"> = net effective reproduction rate</t>
    </r>
    <r>
      <rPr>
        <sz val="10"/>
        <rFont val="Arial"/>
        <family val="2"/>
      </rPr>
      <t xml:space="preserve"> (no. of viable mated daughters per foundress per repro cycle).  Oddie (2017) found a value of 1.24 for commercial stock, and 0.87 for survivor stock.</t>
    </r>
  </si>
  <si>
    <t>}</t>
  </si>
  <si>
    <t xml:space="preserve"> Effect dependent upon amount of drone brood present.</t>
  </si>
  <si>
    <r>
      <t>Drone cell--mean number of daughters/cycle  (</t>
    </r>
    <r>
      <rPr>
        <b/>
        <sz val="10"/>
        <color rgb="FF0070C0"/>
        <rFont val="Arial"/>
        <family val="2"/>
      </rPr>
      <t>typ 2.5</t>
    </r>
    <r>
      <rPr>
        <b/>
        <sz val="10"/>
        <color rgb="FF0070C0"/>
        <rFont val="Calibri"/>
        <family val="2"/>
      </rPr>
      <t>—</t>
    </r>
    <r>
      <rPr>
        <b/>
        <sz val="10"/>
        <color rgb="FF0070C0"/>
        <rFont val="Arial"/>
        <family val="2"/>
      </rPr>
      <t>4.0</t>
    </r>
    <r>
      <rPr>
        <sz val="10"/>
        <rFont val="Arial"/>
        <family val="2"/>
      </rPr>
      <t>)</t>
    </r>
  </si>
  <si>
    <r>
      <t xml:space="preserve">Factor for increased rate of invasion of drone cells (after Boot). </t>
    </r>
    <r>
      <rPr>
        <b/>
        <sz val="10"/>
        <color rgb="FFFF0000"/>
        <rFont val="Arial"/>
        <family val="2"/>
      </rPr>
      <t xml:space="preserve"> This may be an overestimate based upon my dissection of drone trap frames in April.</t>
    </r>
  </si>
  <si>
    <t>Total mites at start of period</t>
  </si>
  <si>
    <r>
      <rPr>
        <b/>
        <i/>
        <sz val="10"/>
        <rFont val="Arial"/>
        <family val="2"/>
      </rPr>
      <t>(ADVANCED ONLY</t>
    </r>
    <r>
      <rPr>
        <b/>
        <sz val="10"/>
        <rFont val="Arial"/>
        <family val="2"/>
      </rPr>
      <t xml:space="preserve">) Mite reproduction and bee resistance variables:  </t>
    </r>
    <r>
      <rPr>
        <sz val="10"/>
        <rFont val="Arial"/>
        <family val="2"/>
      </rPr>
      <t xml:space="preserve">The following variables are critical determinants of varroa's reproductive success, and bee resistance traits.  </t>
    </r>
  </si>
  <si>
    <t>Net mite gain  from reproduction</t>
  </si>
  <si>
    <t>High-latitude colony with 5-month brood break</t>
  </si>
  <si>
    <t>At an r of 0.023, the mite population will double each month--for more info scroll down to:</t>
  </si>
  <si>
    <t>S: Colony swarming in May--enter a 50-60% "treatment" reduction of mites on 15 May</t>
  </si>
  <si>
    <t>Net adult bee mortality per period</t>
  </si>
  <si>
    <t>Mite loss per period on nonreturning exited bees</t>
  </si>
  <si>
    <r>
      <t>It's all about the "r value"--the overall daily r from 15 Apr</t>
    </r>
    <r>
      <rPr>
        <i/>
        <sz val="10"/>
        <color theme="1"/>
        <rFont val="Calibri"/>
        <family val="2"/>
      </rPr>
      <t>–</t>
    </r>
    <r>
      <rPr>
        <i/>
        <sz val="10"/>
        <color theme="1"/>
        <rFont val="Arial"/>
        <family val="2"/>
      </rPr>
      <t>15 Sep in this simulation equals:</t>
    </r>
  </si>
  <si>
    <t>comment</t>
  </si>
  <si>
    <t>Potentially reproductive mites after adj for aging</t>
  </si>
  <si>
    <t>Daily r for  phoretic mortality during broodrearing. Do not modify this cell.  See Andino 2011, Oliver unpub. data</t>
  </si>
  <si>
    <t>Mites remaining after natural mortality</t>
  </si>
  <si>
    <t>Net daily r from reproduction and natural mortality alone</t>
  </si>
  <si>
    <t>Potential daily r from reproduction of varroa in brood (drone &amp; worker)</t>
  </si>
  <si>
    <t>Potential r</t>
  </si>
  <si>
    <t>Mated mites</t>
  </si>
  <si>
    <t>Calculation for mite drift from hive</t>
  </si>
  <si>
    <t>Dates for Northern or Southern hemispheres</t>
  </si>
  <si>
    <t>Total mites after reproduction</t>
  </si>
  <si>
    <t>Mites loss due to natural mortality</t>
  </si>
  <si>
    <t>Negative daily r due to mite mortality</t>
  </si>
  <si>
    <t>Potential reproductive rate</t>
  </si>
  <si>
    <t>Remaining mites at end of period</t>
  </si>
  <si>
    <t>Total mites prior to treatment effect</t>
  </si>
  <si>
    <t xml:space="preserve">Net mite change per period due to in/out drift </t>
  </si>
  <si>
    <r>
      <t>Worker cell-- percent viable, successfully-mated daughters (</t>
    </r>
    <r>
      <rPr>
        <b/>
        <sz val="10"/>
        <color rgb="FF0070C0"/>
        <rFont val="Arial"/>
        <family val="2"/>
      </rPr>
      <t>typ. range .50-.90</t>
    </r>
    <r>
      <rPr>
        <sz val="10"/>
        <rFont val="Arial"/>
        <family val="2"/>
      </rPr>
      <t>)</t>
    </r>
  </si>
  <si>
    <r>
      <t xml:space="preserve">Drone cell--% viable fertile daughters (typ. </t>
    </r>
    <r>
      <rPr>
        <b/>
        <sz val="10"/>
        <color rgb="FF0070C0"/>
        <rFont val="Arial"/>
        <family val="2"/>
      </rPr>
      <t>range .50-.90</t>
    </r>
    <r>
      <rPr>
        <sz val="10"/>
        <rFont val="Arial"/>
        <family val="2"/>
      </rPr>
      <t>)</t>
    </r>
  </si>
  <si>
    <t>Values in green reflect user-chosen inputs</t>
  </si>
  <si>
    <r>
      <t xml:space="preserve">In this row I've placed notes &amp; validation of calculations as comments.  Those highlighted in red call for more investigation </t>
    </r>
    <r>
      <rPr>
        <b/>
        <sz val="10"/>
        <rFont val="Wingdings"/>
        <charset val="2"/>
      </rPr>
      <t>ð</t>
    </r>
  </si>
  <si>
    <r>
      <t>Worker cell--% viable fertile daughters (</t>
    </r>
    <r>
      <rPr>
        <b/>
        <sz val="10"/>
        <color rgb="FF0070C0"/>
        <rFont val="Arial"/>
        <family val="2"/>
      </rPr>
      <t>range .50-.90</t>
    </r>
    <r>
      <rPr>
        <sz val="10"/>
        <rFont val="Arial"/>
        <family val="2"/>
      </rPr>
      <t>)</t>
    </r>
  </si>
  <si>
    <r>
      <t>Drone cell % viable fertile daughters (</t>
    </r>
    <r>
      <rPr>
        <b/>
        <sz val="10"/>
        <color rgb="FF0070C0"/>
        <rFont val="Arial"/>
        <family val="2"/>
      </rPr>
      <t>range .50-.90</t>
    </r>
    <r>
      <rPr>
        <sz val="10"/>
        <rFont val="Arial"/>
        <family val="2"/>
      </rPr>
      <t>)</t>
    </r>
  </si>
  <si>
    <t>R: Randy's California hives, split 4 ways after almonds and oxalic'd (enter a total 90% mite reduction on Apr 1 from splitting 4 ways, oxalic trtmt &amp; drone frame removal)</t>
  </si>
  <si>
    <t>Arbitrary infest rate for crash when broodless</t>
  </si>
  <si>
    <t xml:space="preserve">I have yet to understand why colonies on the northern prairies of North America grow larger than they do in California. </t>
  </si>
  <si>
    <r>
      <t xml:space="preserve">frames 65% covered with brood.  </t>
    </r>
    <r>
      <rPr>
        <b/>
        <i/>
        <sz val="10"/>
        <rFont val="Arial"/>
        <family val="2"/>
      </rPr>
      <t>Be sure to include any brood ramp up due to fall pollen flows.</t>
    </r>
  </si>
  <si>
    <t>D: Default colony in temperate climate, managed to prevent swarming (slight fall brood buildup)</t>
  </si>
  <si>
    <t>Daily mortality during nonreproductive phoretic period</t>
  </si>
  <si>
    <t>Daily mortality during reproductive period</t>
  </si>
  <si>
    <t xml:space="preserve"> -day reproductive cycles totals</t>
  </si>
  <si>
    <t>days</t>
  </si>
  <si>
    <t>percent</t>
  </si>
  <si>
    <t>day survivorship</t>
  </si>
  <si>
    <t>Thus, we'd expect `50% of the mites to be alive after 3 reproductive cycles.</t>
  </si>
  <si>
    <t>Factoring in additional phoretic mortality, a 1% daily mortality figure during the reproductive period works out about right.</t>
  </si>
  <si>
    <t>brood: bee</t>
  </si>
  <si>
    <t>8-day larvae per 8000 bees</t>
  </si>
  <si>
    <t>Approx repro cycle</t>
  </si>
  <si>
    <t>values extracted from Boot's chart</t>
  </si>
  <si>
    <t>Guesstimates</t>
  </si>
  <si>
    <t>Max is about 3</t>
  </si>
  <si>
    <t>Intercept</t>
  </si>
  <si>
    <t>exponent</t>
  </si>
  <si>
    <r>
      <t xml:space="preserve">Constant for cell invasion rate equation, an increase adds a day to the mite phoretic period and decreases the  r value--see </t>
    </r>
    <r>
      <rPr>
        <sz val="14"/>
        <rFont val="Wingdings"/>
        <charset val="2"/>
      </rPr>
      <t>ð</t>
    </r>
  </si>
  <si>
    <t>If you tweak these variables, make sure that the resulting r value remains realistic.</t>
  </si>
  <si>
    <t>DeGuzman 2007 Baton Rouge Italians</t>
  </si>
  <si>
    <t>DeGuzman 2007 Baton Rouge Russians</t>
  </si>
  <si>
    <t>From Martin 1999:" a 30% loss of mites during each reproductive cycle, excluding any phoretic death, results in a mean number of reproductive cycles of : 2.4 for mites reproducing in worker cells. This ﬁgure falls within the range found in other studies (reviewed in Martin and Kemp, 1997)"</t>
  </si>
  <si>
    <t>r per cycle</t>
  </si>
  <si>
    <t>Days/cycle</t>
  </si>
  <si>
    <t>Typical range</t>
  </si>
  <si>
    <t>Vandame 2000 EHB in Mexico</t>
  </si>
  <si>
    <t>Harris, Harbo, Villa,Danka 2003</t>
  </si>
  <si>
    <t>Year</t>
  </si>
  <si>
    <t>Harris, Harbo, Villa,Danka 2004</t>
  </si>
  <si>
    <t>Harris, Harbo, Villa,Danka 2005</t>
  </si>
  <si>
    <t>Harris, Harbo, Villa,Danka 2006</t>
  </si>
  <si>
    <t>Harris, Harbo, Villa,Danka 2007</t>
  </si>
  <si>
    <t>Harris, Harbo, Villa,Danka 2008</t>
  </si>
  <si>
    <t>Harris, Harbo, Villa,Danka 2009</t>
  </si>
  <si>
    <t>Harris, Harbo, Villa,Danka 2010</t>
  </si>
  <si>
    <t>Harris, Harbo, Villa,Danka 2011</t>
  </si>
  <si>
    <t>Harris, Harbo, Villa,Danka 2012</t>
  </si>
  <si>
    <t>Harris, Harbo, Villa,Danka 2013</t>
  </si>
  <si>
    <t>Harris, Harbo, Villa,Danka 2014</t>
  </si>
  <si>
    <t>Harris, Harbo, Villa,Danka 2015</t>
  </si>
  <si>
    <t>Harbo, Harris 1999 worst colony</t>
  </si>
  <si>
    <t>Harbo, Harris 1999 average colony</t>
  </si>
  <si>
    <t>Harbo, Harris 1999 best resistant colony</t>
  </si>
  <si>
    <t>Harbo, Harris 1999 average of resistant colonies</t>
  </si>
  <si>
    <t>Randy's typical California hive</t>
  </si>
  <si>
    <t>Typical range for com-mercial stocks</t>
  </si>
  <si>
    <t>Our   goal</t>
  </si>
  <si>
    <r>
      <t xml:space="preserve">Factor for increased rate of invasion of drone cells (after Boot) </t>
    </r>
    <r>
      <rPr>
        <sz val="12"/>
        <rFont val="Wingdings"/>
        <charset val="2"/>
      </rPr>
      <t>ð</t>
    </r>
  </si>
  <si>
    <t>Assumptions</t>
  </si>
  <si>
    <t>adult bees per fully-covered deep frame</t>
  </si>
  <si>
    <t>brood cells per deep frame 65% covered with brood</t>
  </si>
  <si>
    <t>Days per simulation interval</t>
  </si>
  <si>
    <t>Calculation of alcohol wash count, assumes 315 bees per sample</t>
  </si>
  <si>
    <t>No neighbors</t>
  </si>
  <si>
    <t>Mite-managed apiary</t>
  </si>
  <si>
    <t>Collapsing ferals and heavy robbing</t>
  </si>
  <si>
    <t>Mite-troubled apiaries</t>
  </si>
  <si>
    <t>Treatment-free urban neighborhood</t>
  </si>
  <si>
    <t>Base your brood estimates upon the equivalent of this amount of brood coverage representing one frame of brood.  Even the best queens can only fill a maximum of 8-10 frames to 65% brood coverage.  Important note about intense honey flows: if the bees plug out the broodnest during an intense honey flow, you must account for that in your brood area estimate--cells full of nectar and pollen don't count as "brood."</t>
  </si>
  <si>
    <t>Net r value for the period</t>
  </si>
  <si>
    <t>Net  daily rate of mite increase (r value)</t>
  </si>
  <si>
    <t>For table blanking</t>
  </si>
  <si>
    <t>Entered % drone brood by area</t>
  </si>
  <si>
    <t>Converted % drone brood by cell</t>
  </si>
  <si>
    <r>
      <t>Percentage of drone cells:</t>
    </r>
    <r>
      <rPr>
        <sz val="10"/>
        <color theme="1"/>
        <rFont val="Arial"/>
        <family val="2"/>
      </rPr>
      <t xml:space="preserve"> estimate by area, not by actual count of cells.  Typ 5% at max, but can go as high as 20% if drone comb is added.</t>
    </r>
  </si>
  <si>
    <t>Est  % of reproducing mites  in drone brood</t>
  </si>
  <si>
    <r>
      <t xml:space="preserve">% of </t>
    </r>
    <r>
      <rPr>
        <i/>
        <u/>
        <sz val="10"/>
        <rFont val="Arial"/>
        <family val="2"/>
      </rPr>
      <t>all</t>
    </r>
    <r>
      <rPr>
        <sz val="10"/>
        <rFont val="Arial"/>
        <family val="2"/>
      </rPr>
      <t xml:space="preserve"> mites in drone brood</t>
    </r>
  </si>
  <si>
    <t>Arbitrary colony crash indicator (with brood)</t>
  </si>
  <si>
    <t>Arbitrary colony crash indicator (broodless)</t>
  </si>
  <si>
    <t xml:space="preserve"> Total </t>
  </si>
  <si>
    <r>
      <t xml:space="preserve">N: </t>
    </r>
    <r>
      <rPr>
        <sz val="16"/>
        <rFont val="Arial"/>
        <family val="2"/>
      </rPr>
      <t>N</t>
    </r>
    <r>
      <rPr>
        <b/>
        <sz val="16"/>
        <rFont val="Arial"/>
        <family val="2"/>
      </rPr>
      <t>ucleus colony, 5 frames of bees, 3 frames of brood, started 1 April</t>
    </r>
  </si>
  <si>
    <t>Max.</t>
  </si>
  <si>
    <t>Degree of varroa sensitive hygiene (percent)</t>
  </si>
  <si>
    <t>15-45</t>
  </si>
  <si>
    <t>High-efficacy synthetic miticide (such as amitraz applied over several weeks)</t>
  </si>
  <si>
    <t>Strong formic acid treatment (time release or hard flash)</t>
  </si>
  <si>
    <t>Single weak formic acid "knockback" treatment</t>
  </si>
  <si>
    <t>A single oxalic dribble or vapor in a hive containing brood, proportional to the % of mites phoretic.  30-75% if applied twice in the period.</t>
  </si>
  <si>
    <t>A single sugar dusting, at best, assuming 50% drop of phoretic mites*</t>
  </si>
  <si>
    <t>Scroll to the right (column AD) to see the Mite Immigration Setting choices graphed out &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</si>
  <si>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Cal'd values days phoretic</t>
  </si>
  <si>
    <t>Days</t>
  </si>
  <si>
    <t>Mites</t>
  </si>
  <si>
    <t>Data for graph</t>
  </si>
  <si>
    <t>40-60</t>
  </si>
  <si>
    <t>X</t>
  </si>
  <si>
    <t>% change in mite pop</t>
  </si>
  <si>
    <t>% change in bee pop</t>
  </si>
  <si>
    <t>The graphs below and to the right reflect the values on the Current Version tab.</t>
  </si>
  <si>
    <t>The graph to the left is to show how the mites outpace the bees in reproduction for much of the season.  It reflects the values of the current simulation (duplicated above).  I suggest first starting with a Default simulation (d), 25 mites (so that the colony doesn't crash),  immigration setting of 1, and no treatments.  This will give you an idea of what the colony is up against (you'll need to switch tabs back and forth to view).  You can then run custom simulations to input values for mite resistance, and see how the bees have the potential to bring the mite under control.  For example, input "custom" (under Advanced) and put a value of 0.8 into cell C40.</t>
  </si>
  <si>
    <t>Net adult bee mortality per day</t>
  </si>
  <si>
    <t>Comment</t>
  </si>
  <si>
    <r>
      <t>Baseline mite mortality/day when broodless (</t>
    </r>
    <r>
      <rPr>
        <b/>
        <sz val="10"/>
        <color rgb="FF0070C0"/>
        <rFont val="Arial"/>
        <family val="2"/>
      </rPr>
      <t>typ. ~ 0.005</t>
    </r>
    <r>
      <rPr>
        <sz val="10"/>
        <rFont val="Arial"/>
        <family val="2"/>
      </rPr>
      <t>)(long-lived bees) (</t>
    </r>
    <r>
      <rPr>
        <b/>
        <sz val="10"/>
        <rFont val="Arial"/>
        <family val="2"/>
      </rPr>
      <t>daily mortality may be affected by intensity of grooming behavior</t>
    </r>
    <r>
      <rPr>
        <sz val="10"/>
        <rFont val="Arial"/>
        <family val="2"/>
      </rPr>
      <t>)</t>
    </r>
  </si>
  <si>
    <r>
      <t xml:space="preserve">Baseline mite mortality/day during broodrearing (cluster broken).  </t>
    </r>
    <r>
      <rPr>
        <b/>
        <sz val="10"/>
        <color rgb="FFFF0000"/>
        <rFont val="Arial"/>
        <family val="2"/>
      </rPr>
      <t>Strongly affected by grooming behavior.</t>
    </r>
  </si>
  <si>
    <t>Default simulations are for bees exhibiting little mite resistance--you can customize for mite-resistance below</t>
  </si>
  <si>
    <t>Baseline varroa mortality when broodless</t>
  </si>
  <si>
    <t>Baseline varroa mortality during broodrearing</t>
  </si>
  <si>
    <r>
      <t xml:space="preserve">Infestation rate of outgoing bees relative to young adults in an alcohol wash at low mite levels.  </t>
    </r>
    <r>
      <rPr>
        <b/>
        <sz val="10"/>
        <color rgb="FFFF0000"/>
        <rFont val="Arial"/>
        <family val="2"/>
      </rPr>
      <t>This factor has a large impact upon the overall rate of mite buildup!</t>
    </r>
  </si>
  <si>
    <t>Arbitrary worker brood inf rate for crash when brood present</t>
  </si>
  <si>
    <t>A: Subtropical colony, dry climate; no winter brood break--Southern California</t>
  </si>
  <si>
    <r>
      <t xml:space="preserve">Degree of varroa sensitive hygiene (percent).  </t>
    </r>
    <r>
      <rPr>
        <i/>
        <sz val="10"/>
        <rFont val="Arial"/>
        <family val="2"/>
      </rPr>
      <t>This has a strong effect upon the number of daughters per cycle!  This input may underestimate the net value of VSH, since it does not account for increased foundress mortality.</t>
    </r>
  </si>
  <si>
    <t>total eggs laid per year</t>
  </si>
  <si>
    <t>This number is often referred to as "fitness."  A foundress mite in a worker cell has the potential of producing a little over 2 daughters (see Kuster 2014 1710-1718 doi:10.1242/jeb.097766), but various studies indicate that the observed number is typically lower</t>
  </si>
  <si>
    <r>
      <t>Worker cell--mean number of daughters/cycle ("fitness")(</t>
    </r>
    <r>
      <rPr>
        <b/>
        <sz val="10"/>
        <color rgb="FF0070C0"/>
        <rFont val="Arial"/>
        <family val="2"/>
      </rPr>
      <t>typ 1.2</t>
    </r>
    <r>
      <rPr>
        <b/>
        <sz val="10"/>
        <color rgb="FF0070C0"/>
        <rFont val="Calibri"/>
        <family val="2"/>
      </rPr>
      <t>—</t>
    </r>
    <r>
      <rPr>
        <b/>
        <sz val="10"/>
        <color rgb="FF0070C0"/>
        <rFont val="Arial"/>
        <family val="2"/>
      </rPr>
      <t>1.5</t>
    </r>
    <r>
      <rPr>
        <sz val="10"/>
        <rFont val="Arial"/>
        <family val="2"/>
      </rPr>
      <t xml:space="preserve"> in various studies).  </t>
    </r>
  </si>
  <si>
    <t>https://doi.org/10.1080/00218839.2018.1494921</t>
  </si>
  <si>
    <t xml:space="preserve">In Italy in late summer  40-48% of the sum of (total natural mite drop over 25 days + total mites dropped by strong treatment over 6 weeks) dropped over those 25 days. </t>
  </si>
  <si>
    <t>Boot 1995 Does time spent on adult bees affect reproductive success of Varroa mites?</t>
  </si>
  <si>
    <t>85%, 3x</t>
  </si>
  <si>
    <t xml:space="preserve">Extended-release OA/glycerin towels; for end result at 45 days, enter 85% for 3 consecutive cells. starting at time of application.  </t>
  </si>
  <si>
    <t>Treatment % kill of total mites</t>
  </si>
  <si>
    <t>Mite population</t>
  </si>
  <si>
    <t>Colony type*</t>
  </si>
  <si>
    <t>Mite immigration**</t>
  </si>
  <si>
    <t>* Colony types</t>
  </si>
  <si>
    <t>** Mite immigration level</t>
  </si>
  <si>
    <t>Virus crash if 15 Sept wash &gt;60 despite trtmt</t>
  </si>
  <si>
    <t>Type "x" above for Southern Hemisphere</t>
  </si>
  <si>
    <r>
      <t>Mite reductions</t>
    </r>
    <r>
      <rPr>
        <b/>
        <sz val="10"/>
        <rFont val="Wingdings"/>
        <charset val="2"/>
      </rPr>
      <t>è</t>
    </r>
  </si>
  <si>
    <t>You can create your own customized colony type at the Colony tab</t>
  </si>
  <si>
    <t>© Randy Oliver 2016, 2017,2018, 2019, 2020</t>
  </si>
  <si>
    <t>Colony type</t>
  </si>
  <si>
    <t>Mite immigration</t>
  </si>
  <si>
    <t>Starting mite pop; nuc and package mite counts will be applied on 1 April.</t>
  </si>
  <si>
    <r>
      <t xml:space="preserve">Leave this box blank to use the blue default values, or type in "custom" to modify values in the green cells below (the red </t>
    </r>
    <r>
      <rPr>
        <b/>
        <sz val="10"/>
        <color rgb="FFFF0000"/>
        <rFont val="Arial"/>
        <family val="2"/>
      </rPr>
      <t>V</t>
    </r>
    <r>
      <rPr>
        <sz val="10"/>
        <rFont val="Arial"/>
        <family val="2"/>
      </rPr>
      <t xml:space="preserve"> will indicate the switch).</t>
    </r>
  </si>
  <si>
    <t>CUSTOMIZATION OF THE MODEL (and sensitivity analysis for mite resistance factors)</t>
  </si>
  <si>
    <t>sb</t>
  </si>
  <si>
    <t>Total</t>
  </si>
  <si>
    <t>10 mites</t>
  </si>
  <si>
    <t>25 mites</t>
  </si>
  <si>
    <t>50 mites</t>
  </si>
  <si>
    <t>100 mites</t>
  </si>
  <si>
    <t>150 mites</t>
  </si>
  <si>
    <r>
      <t xml:space="preserve">Mite immigration settings </t>
    </r>
    <r>
      <rPr>
        <b/>
        <sz val="10"/>
        <rFont val="Wingdings"/>
        <charset val="2"/>
      </rPr>
      <t>è</t>
    </r>
  </si>
  <si>
    <t>Fill in custom immigration</t>
  </si>
  <si>
    <r>
      <t xml:space="preserve">Total immigration </t>
    </r>
    <r>
      <rPr>
        <b/>
        <sz val="10"/>
        <rFont val="Wingdings"/>
        <charset val="2"/>
      </rPr>
      <t>è</t>
    </r>
  </si>
  <si>
    <t>Customize yourself -- go to the Mite Immigration tab.</t>
  </si>
  <si>
    <t>The password to unlock a worksheet is "sb".  I strongly suggest that you immediately relock after making any changes, to avoid unintended changes!</t>
  </si>
  <si>
    <t>Insert      "B"       for brood break</t>
  </si>
  <si>
    <t>b</t>
  </si>
  <si>
    <t>%</t>
  </si>
  <si>
    <t>15-45%</t>
  </si>
  <si>
    <t>80-95%</t>
  </si>
  <si>
    <t>15-20%</t>
  </si>
  <si>
    <t>~35%</t>
  </si>
  <si>
    <t>~50%</t>
  </si>
  <si>
    <t>Walkaway split, or forced queen replacement (26 days no egglaying)</t>
  </si>
  <si>
    <t>r value of adult bees</t>
  </si>
  <si>
    <t>r value of varroa</t>
  </si>
  <si>
    <t>Absolute change in mite pop</t>
  </si>
  <si>
    <t>Mite pop change independent of treatment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</si>
</sst>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409]d\-mmm;@"/>
    <numFmt numFmtId="165" formatCode="0.000"/>
    <numFmt numFmtId="166" formatCode="0.0"/>
    <numFmt numFmtId="167" formatCode="0.0%"/>
    <numFmt numFmtId="168" formatCode="0.0000"/>
    <numFmt numFmtId="169" formatCode="#,##0.000"/>
    <numFmt numFmtId="170" formatCode="#,##0.0"/>
    <numFmt numFmtId="171" formatCode="d\ mmm"/>
  </numFmts>
  <fonts count="52" x14ac:knownFonts="1">
    <font>
      <sz val="10"/>
      <name val="Arial"/>
      <family val="2"/>
    </font>
    <font>
      <sz val="11"/>
      <color theme="1"/>
      <name val="Calibri"/>
      <family val="2"/>
      <scheme val="minor"/>
    </font>
    <font>
      <sz val="11"/>
      <color theme="1"/>
      <name val="Calibri"/>
      <family val="2"/>
      <scheme val="minor"/>
    </font>
    <font>
      <i/>
      <sz val="10"/>
      <name val="Arial"/>
      <family val="2"/>
    </font>
    <font>
      <b/>
      <sz val="10"/>
      <name val="Arial"/>
      <family val="2"/>
    </font>
    <font>
      <b/>
      <sz val="10"/>
      <color rgb="FFFF0000"/>
      <name val="Arial"/>
      <family val="2"/>
    </font>
    <font>
      <sz val="10"/>
      <name val="Calibri"/>
      <family val="2"/>
    </font>
    <font>
      <sz val="10"/>
      <color rgb="FFFF0000"/>
      <name val="Arial"/>
      <family val="2"/>
    </font>
    <font>
      <b/>
      <sz val="10"/>
      <color rgb="FF0070C0"/>
      <name val="Arial"/>
      <family val="2"/>
    </font>
    <font>
      <b/>
      <sz val="10"/>
      <color theme="1"/>
      <name val="Arial"/>
      <family val="2"/>
    </font>
    <font>
      <sz val="10"/>
      <color theme="1"/>
      <name val="Arial"/>
      <family val="2"/>
    </font>
    <font>
      <sz val="10"/>
      <color rgb="FF00B0F0"/>
      <name val="Arial"/>
      <family val="2"/>
    </font>
    <font>
      <sz val="24"/>
      <name val="Arial"/>
      <family val="2"/>
    </font>
    <font>
      <sz val="18"/>
      <name val="Arial"/>
      <family val="2"/>
    </font>
    <font>
      <b/>
      <sz val="11"/>
      <color theme="1"/>
      <name val="Calibri"/>
      <family val="2"/>
      <scheme val="minor"/>
    </font>
    <font>
      <b/>
      <sz val="10"/>
      <color rgb="FF002060"/>
      <name val="Arial"/>
      <family val="2"/>
    </font>
    <font>
      <sz val="10"/>
      <color rgb="FF0070C0"/>
      <name val="Arial"/>
      <family val="2"/>
    </font>
    <font>
      <sz val="10"/>
      <color theme="3"/>
      <name val="Arial"/>
      <family val="2"/>
    </font>
    <font>
      <b/>
      <i/>
      <sz val="10"/>
      <name val="Arial"/>
      <family val="2"/>
    </font>
    <font>
      <b/>
      <sz val="10"/>
      <color rgb="FF00B0F0"/>
      <name val="Arial"/>
      <family val="2"/>
    </font>
    <font>
      <sz val="10"/>
      <name val="Arial"/>
      <family val="2"/>
    </font>
    <font>
      <sz val="10"/>
      <color rgb="FF000000"/>
      <name val="Arial"/>
      <family val="2"/>
    </font>
    <font>
      <b/>
      <sz val="16"/>
      <name val="Arial"/>
      <family val="2"/>
    </font>
    <font>
      <sz val="24"/>
      <name val="Wingdings"/>
      <charset val="2"/>
    </font>
    <font>
      <sz val="18"/>
      <name val="Calibri"/>
      <family val="2"/>
    </font>
    <font>
      <b/>
      <sz val="12"/>
      <name val="Arial"/>
      <family val="2"/>
    </font>
    <font>
      <sz val="16"/>
      <name val="Arial"/>
      <family val="2"/>
    </font>
    <font>
      <b/>
      <sz val="9"/>
      <color rgb="FFFF0000"/>
      <name val="Arial"/>
      <family val="2"/>
    </font>
    <font>
      <sz val="10"/>
      <name val="Wingdings"/>
      <charset val="2"/>
    </font>
    <font>
      <i/>
      <sz val="9"/>
      <name val="Arial"/>
      <family val="2"/>
    </font>
    <font>
      <b/>
      <sz val="10"/>
      <color rgb="FF00B050"/>
      <name val="Arial"/>
      <family val="2"/>
    </font>
    <font>
      <b/>
      <sz val="11"/>
      <name val="Arial"/>
      <family val="2"/>
    </font>
    <font>
      <sz val="10"/>
      <color rgb="FF00B050"/>
      <name val="Arial"/>
      <family val="2"/>
    </font>
    <font>
      <b/>
      <sz val="10"/>
      <color rgb="FF0070C0"/>
      <name val="Calibri"/>
      <family val="2"/>
    </font>
    <font>
      <sz val="14"/>
      <name val="Wingdings"/>
      <charset val="2"/>
    </font>
    <font>
      <i/>
      <sz val="10"/>
      <color theme="1"/>
      <name val="Arial"/>
      <family val="2"/>
    </font>
    <font>
      <i/>
      <sz val="10"/>
      <color theme="1"/>
      <name val="Calibri"/>
      <family val="2"/>
    </font>
    <font>
      <sz val="9"/>
      <color indexed="81"/>
      <name val="Tahoma"/>
      <family val="2"/>
    </font>
    <font>
      <b/>
      <sz val="9"/>
      <color indexed="81"/>
      <name val="Tahoma"/>
      <family val="2"/>
    </font>
    <font>
      <b/>
      <sz val="10"/>
      <name val="Wingdings"/>
      <charset val="2"/>
    </font>
    <font>
      <sz val="9"/>
      <name val="Arial"/>
      <family val="2"/>
    </font>
    <font>
      <b/>
      <i/>
      <sz val="14"/>
      <color theme="4"/>
      <name val="Arial"/>
      <family val="2"/>
    </font>
    <font>
      <sz val="12"/>
      <name val="Wingdings"/>
      <charset val="2"/>
    </font>
    <font>
      <i/>
      <sz val="9"/>
      <color indexed="81"/>
      <name val="Tahoma"/>
      <family val="2"/>
    </font>
    <font>
      <i/>
      <u/>
      <sz val="10"/>
      <name val="Arial"/>
      <family val="2"/>
    </font>
    <font>
      <b/>
      <i/>
      <sz val="10"/>
      <color theme="1"/>
      <name val="Arial"/>
      <family val="2"/>
    </font>
    <font>
      <b/>
      <sz val="9"/>
      <name val="Arial"/>
      <family val="2"/>
    </font>
    <font>
      <sz val="11"/>
      <name val="Arial"/>
      <family val="2"/>
    </font>
    <font>
      <b/>
      <sz val="10"/>
      <color rgb="FFFF0000"/>
      <name val="Arial Narrow"/>
      <family val="2"/>
    </font>
    <font>
      <b/>
      <sz val="12"/>
      <name val="Wingdings"/>
      <charset val="2"/>
    </font>
    <font>
      <b/>
      <sz val="14"/>
      <name val="Arial"/>
      <family val="2"/>
    </font>
    <font>
      <b/>
      <sz val="14"/>
      <color rgb="FFFF0000"/>
      <name val="Arial"/>
      <family val="2"/>
    </font>
  </fonts>
  <fills count="18">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B3E971"/>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ABFF"/>
        <bgColor indexed="64"/>
      </patternFill>
    </fill>
    <fill>
      <patternFill patternType="solid">
        <fgColor rgb="FF69D8FF"/>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7DFF"/>
        <bgColor indexed="64"/>
      </patternFill>
    </fill>
    <fill>
      <patternFill patternType="solid">
        <fgColor theme="1"/>
        <bgColor indexed="64"/>
      </patternFill>
    </fill>
    <fill>
      <patternFill patternType="solid">
        <fgColor theme="8"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rgb="FF0070C0"/>
      </left>
      <right/>
      <top/>
      <bottom/>
      <diagonal/>
    </border>
    <border>
      <left style="thin">
        <color rgb="FF0070C0"/>
      </left>
      <right style="thin">
        <color rgb="FF0070C0"/>
      </right>
      <top style="thin">
        <color rgb="FF0070C0"/>
      </top>
      <bottom style="thin">
        <color rgb="FF0070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ck">
        <color rgb="FFFF0000"/>
      </bottom>
      <diagonal/>
    </border>
    <border>
      <left style="thick">
        <color rgb="FFFF0000"/>
      </left>
      <right/>
      <top/>
      <bottom/>
      <diagonal/>
    </border>
    <border>
      <left style="thick">
        <color rgb="FFFF0000"/>
      </left>
      <right/>
      <top style="thick">
        <color rgb="FFFF0000"/>
      </top>
      <bottom style="thick">
        <color rgb="FFFF0000"/>
      </bottom>
      <diagonal/>
    </border>
    <border>
      <left/>
      <right/>
      <top/>
      <bottom style="thin">
        <color theme="1"/>
      </bottom>
      <diagonal/>
    </border>
    <border>
      <left style="thin">
        <color rgb="FF0070C0"/>
      </left>
      <right style="thin">
        <color rgb="FF0070C0"/>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0" fontId="2" fillId="0" borderId="0"/>
    <xf numFmtId="0" fontId="2" fillId="0" borderId="0"/>
    <xf numFmtId="0" fontId="1" fillId="0" borderId="0"/>
    <xf numFmtId="43" fontId="20" fillId="0" borderId="0" applyFont="0" applyFill="0" applyBorder="0" applyAlignment="0" applyProtection="0"/>
  </cellStyleXfs>
  <cellXfs count="610">
    <xf numFmtId="0" fontId="0" fillId="0" borderId="0" xfId="0"/>
    <xf numFmtId="0" fontId="5" fillId="0" borderId="1" xfId="0" applyFont="1" applyBorder="1" applyAlignment="1">
      <alignment horizontal="center" vertical="center" wrapText="1"/>
    </xf>
    <xf numFmtId="164" fontId="0" fillId="0" borderId="1" xfId="0" applyNumberFormat="1" applyFont="1" applyBorder="1" applyAlignment="1">
      <alignment horizontal="center"/>
    </xf>
    <xf numFmtId="9" fontId="0" fillId="0" borderId="1" xfId="0" applyNumberFormat="1" applyFont="1" applyBorder="1" applyAlignment="1">
      <alignment horizontal="center"/>
    </xf>
    <xf numFmtId="9" fontId="5" fillId="0" borderId="1" xfId="0" applyNumberFormat="1" applyFont="1" applyBorder="1" applyAlignment="1">
      <alignment horizontal="center"/>
    </xf>
    <xf numFmtId="0" fontId="0" fillId="0" borderId="0" xfId="0" applyFont="1" applyAlignment="1">
      <alignment horizontal="right"/>
    </xf>
    <xf numFmtId="0" fontId="4" fillId="0" borderId="0" xfId="0" applyFont="1"/>
    <xf numFmtId="0" fontId="0" fillId="0" borderId="0" xfId="0" applyFont="1"/>
    <xf numFmtId="0" fontId="7" fillId="0" borderId="0" xfId="0" applyFont="1"/>
    <xf numFmtId="166" fontId="8" fillId="0" borderId="1" xfId="0" applyNumberFormat="1" applyFont="1" applyFill="1" applyBorder="1" applyAlignment="1">
      <alignment horizontal="center"/>
    </xf>
    <xf numFmtId="0" fontId="0" fillId="0" borderId="0" xfId="0" applyAlignment="1">
      <alignment horizontal="right" wrapText="1"/>
    </xf>
    <xf numFmtId="0" fontId="4" fillId="0" borderId="0" xfId="0" applyFont="1" applyBorder="1" applyAlignment="1">
      <alignment vertical="center" wrapText="1"/>
    </xf>
    <xf numFmtId="0" fontId="0" fillId="0" borderId="0" xfId="0" applyFill="1"/>
    <xf numFmtId="2" fontId="0" fillId="0" borderId="0" xfId="0" applyNumberFormat="1" applyAlignment="1">
      <alignment horizontal="left" vertical="center"/>
    </xf>
    <xf numFmtId="0" fontId="8" fillId="0" borderId="0" xfId="0" applyFont="1" applyAlignment="1">
      <alignment horizontal="center"/>
    </xf>
    <xf numFmtId="0" fontId="4" fillId="0" borderId="0" xfId="0" applyFont="1" applyAlignment="1">
      <alignment horizontal="left" vertical="center"/>
    </xf>
    <xf numFmtId="0" fontId="0" fillId="0" borderId="0" xfId="0" applyFont="1" applyAlignment="1">
      <alignment horizontal="left"/>
    </xf>
    <xf numFmtId="3" fontId="0" fillId="0" borderId="0" xfId="0" applyNumberFormat="1"/>
    <xf numFmtId="1" fontId="0" fillId="0" borderId="0" xfId="0" applyNumberFormat="1"/>
    <xf numFmtId="0" fontId="8" fillId="0" borderId="0" xfId="0" applyFont="1" applyAlignment="1">
      <alignment horizontal="center" vertical="center"/>
    </xf>
    <xf numFmtId="0" fontId="0" fillId="0" borderId="0" xfId="0" applyAlignment="1">
      <alignment wrapText="1"/>
    </xf>
    <xf numFmtId="2" fontId="0" fillId="0" borderId="0" xfId="0" applyNumberFormat="1"/>
    <xf numFmtId="0" fontId="4" fillId="0" borderId="0" xfId="0" applyFont="1" applyAlignment="1"/>
    <xf numFmtId="9" fontId="0" fillId="0" borderId="0" xfId="0" applyNumberFormat="1" applyAlignment="1">
      <alignment horizontal="left" vertical="center"/>
    </xf>
    <xf numFmtId="1" fontId="0" fillId="0" borderId="0" xfId="0" applyNumberFormat="1" applyAlignment="1">
      <alignment horizontal="center" vertical="center" wrapText="1"/>
    </xf>
    <xf numFmtId="3" fontId="0" fillId="0" borderId="0" xfId="0" applyNumberFormat="1" applyAlignment="1">
      <alignment horizontal="center" vertical="center" wrapText="1"/>
    </xf>
    <xf numFmtId="0" fontId="0" fillId="0" borderId="0" xfId="0" applyFill="1" applyAlignment="1">
      <alignment horizontal="center" vertical="center" wrapText="1"/>
    </xf>
    <xf numFmtId="166" fontId="0" fillId="0" borderId="0" xfId="0" applyNumberFormat="1" applyAlignment="1">
      <alignment horizontal="right"/>
    </xf>
    <xf numFmtId="1" fontId="0" fillId="0" borderId="0" xfId="0" applyNumberFormat="1" applyAlignment="1">
      <alignment horizontal="right"/>
    </xf>
    <xf numFmtId="165" fontId="0" fillId="0" borderId="0" xfId="0" applyNumberFormat="1"/>
    <xf numFmtId="166" fontId="0" fillId="0" borderId="0" xfId="0" applyNumberFormat="1"/>
    <xf numFmtId="4" fontId="0" fillId="0" borderId="0" xfId="0" applyNumberFormat="1"/>
    <xf numFmtId="9" fontId="0" fillId="0" borderId="0" xfId="0" applyNumberFormat="1" applyAlignment="1">
      <alignment horizontal="right"/>
    </xf>
    <xf numFmtId="1" fontId="0" fillId="0" borderId="0" xfId="0" applyNumberFormat="1" applyBorder="1" applyAlignment="1">
      <alignment wrapText="1"/>
    </xf>
    <xf numFmtId="165" fontId="4" fillId="0" borderId="0" xfId="0" applyNumberFormat="1" applyFont="1"/>
    <xf numFmtId="1" fontId="4" fillId="0" borderId="0" xfId="0" applyNumberFormat="1" applyFont="1"/>
    <xf numFmtId="165" fontId="4" fillId="0" borderId="0" xfId="0" applyNumberFormat="1" applyFont="1" applyAlignment="1">
      <alignment horizontal="right"/>
    </xf>
    <xf numFmtId="9" fontId="0" fillId="0" borderId="0" xfId="0" applyNumberFormat="1"/>
    <xf numFmtId="1" fontId="0" fillId="0" borderId="0" xfId="0" applyNumberFormat="1" applyAlignment="1">
      <alignment wrapText="1"/>
    </xf>
    <xf numFmtId="165" fontId="0" fillId="0" borderId="0" xfId="0" applyNumberFormat="1" applyAlignment="1">
      <alignment wrapText="1"/>
    </xf>
    <xf numFmtId="2" fontId="0" fillId="0" borderId="0" xfId="0" applyNumberFormat="1" applyAlignment="1">
      <alignment wrapText="1"/>
    </xf>
    <xf numFmtId="2" fontId="4" fillId="0" borderId="0" xfId="0" applyNumberFormat="1" applyFont="1"/>
    <xf numFmtId="0" fontId="0" fillId="0" borderId="0" xfId="0" applyFill="1" applyBorder="1"/>
    <xf numFmtId="1" fontId="0" fillId="0" borderId="0" xfId="0" applyNumberFormat="1" applyAlignment="1">
      <alignment horizontal="left" vertical="center"/>
    </xf>
    <xf numFmtId="0" fontId="0" fillId="0" borderId="0" xfId="0" applyFill="1" applyAlignment="1">
      <alignment horizontal="center"/>
    </xf>
    <xf numFmtId="9" fontId="0" fillId="0" borderId="0" xfId="0" applyNumberFormat="1" applyFill="1" applyAlignment="1">
      <alignment horizontal="center"/>
    </xf>
    <xf numFmtId="9" fontId="0" fillId="3" borderId="0" xfId="0" applyNumberFormat="1" applyFill="1" applyAlignment="1">
      <alignment horizontal="center"/>
    </xf>
    <xf numFmtId="0" fontId="5" fillId="0" borderId="0" xfId="0" applyFont="1" applyAlignment="1">
      <alignment horizontal="right"/>
    </xf>
    <xf numFmtId="3" fontId="0" fillId="0" borderId="0" xfId="0" applyNumberFormat="1" applyAlignment="1">
      <alignment horizontal="left"/>
    </xf>
    <xf numFmtId="0" fontId="4" fillId="0" borderId="0" xfId="0" applyFont="1" applyFill="1"/>
    <xf numFmtId="10" fontId="0" fillId="0" borderId="0" xfId="0" applyNumberFormat="1"/>
    <xf numFmtId="1" fontId="0" fillId="4" borderId="0" xfId="0" applyNumberFormat="1" applyFill="1"/>
    <xf numFmtId="0" fontId="0" fillId="4" borderId="0" xfId="0" applyFill="1"/>
    <xf numFmtId="165" fontId="4" fillId="0" borderId="0" xfId="0" applyNumberFormat="1" applyFont="1" applyAlignment="1">
      <alignment horizontal="left" vertical="center"/>
    </xf>
    <xf numFmtId="0" fontId="0" fillId="0" borderId="0" xfId="0" applyAlignment="1"/>
    <xf numFmtId="165" fontId="0" fillId="0" borderId="0" xfId="0" applyNumberFormat="1" applyFill="1"/>
    <xf numFmtId="0" fontId="5" fillId="0" borderId="0" xfId="0" applyFont="1" applyFill="1" applyAlignment="1">
      <alignment horizontal="center" vertical="center" wrapText="1"/>
    </xf>
    <xf numFmtId="1" fontId="0" fillId="0" borderId="0" xfId="0" applyNumberFormat="1" applyAlignment="1">
      <alignment horizontal="center"/>
    </xf>
    <xf numFmtId="2" fontId="0" fillId="0" borderId="0" xfId="0" applyNumberFormat="1" applyAlignment="1">
      <alignment horizontal="right"/>
    </xf>
    <xf numFmtId="3" fontId="5" fillId="0" borderId="1" xfId="0" applyNumberFormat="1" applyFont="1" applyBorder="1" applyAlignment="1">
      <alignment horizontal="center"/>
    </xf>
    <xf numFmtId="0" fontId="0" fillId="0" borderId="0" xfId="0" applyAlignment="1">
      <alignment vertical="center"/>
    </xf>
    <xf numFmtId="0" fontId="4" fillId="6" borderId="1" xfId="0" applyFont="1" applyFill="1" applyBorder="1" applyAlignment="1">
      <alignment horizontal="center" vertical="center"/>
    </xf>
    <xf numFmtId="0" fontId="11" fillId="0" borderId="0" xfId="0" applyFont="1" applyAlignment="1">
      <alignment horizontal="center" vertical="center" wrapText="1"/>
    </xf>
    <xf numFmtId="1" fontId="10" fillId="6" borderId="0" xfId="0" applyNumberFormat="1" applyFont="1" applyFill="1" applyAlignment="1">
      <alignment horizontal="center" vertical="center" wrapText="1"/>
    </xf>
    <xf numFmtId="0" fontId="0" fillId="0" borderId="0" xfId="0" applyBorder="1"/>
    <xf numFmtId="10" fontId="0" fillId="2" borderId="0" xfId="0" applyNumberFormat="1" applyFill="1"/>
    <xf numFmtId="0" fontId="16" fillId="0" borderId="0" xfId="0" applyFont="1"/>
    <xf numFmtId="0" fontId="4" fillId="0" borderId="0" xfId="0" applyFont="1" applyAlignment="1">
      <alignment horizontal="right"/>
    </xf>
    <xf numFmtId="0" fontId="0" fillId="0" borderId="0" xfId="0" applyAlignment="1">
      <alignment vertical="top" wrapText="1"/>
    </xf>
    <xf numFmtId="0" fontId="0" fillId="8" borderId="0" xfId="0" applyFill="1" applyAlignment="1">
      <alignment horizontal="center" vertical="center" wrapText="1"/>
    </xf>
    <xf numFmtId="166" fontId="0" fillId="4" borderId="0" xfId="0" applyNumberFormat="1" applyFill="1" applyAlignment="1">
      <alignment horizontal="center" vertical="center" wrapText="1"/>
    </xf>
    <xf numFmtId="1" fontId="0" fillId="4" borderId="0" xfId="0" applyNumberFormat="1" applyFill="1" applyAlignment="1">
      <alignment horizontal="right"/>
    </xf>
    <xf numFmtId="1" fontId="0" fillId="8" borderId="0" xfId="0" applyNumberFormat="1" applyFill="1" applyAlignment="1">
      <alignment horizontal="right"/>
    </xf>
    <xf numFmtId="166" fontId="0" fillId="8" borderId="0" xfId="0" applyNumberFormat="1" applyFill="1" applyAlignment="1">
      <alignment horizontal="right"/>
    </xf>
    <xf numFmtId="166" fontId="0" fillId="4" borderId="0" xfId="0" applyNumberFormat="1" applyFill="1"/>
    <xf numFmtId="9" fontId="4" fillId="8" borderId="0" xfId="0" applyNumberFormat="1" applyFont="1" applyFill="1" applyAlignment="1">
      <alignment horizontal="right"/>
    </xf>
    <xf numFmtId="9" fontId="4" fillId="4" borderId="0" xfId="0" applyNumberFormat="1" applyFont="1" applyFill="1"/>
    <xf numFmtId="0" fontId="0" fillId="0" borderId="0" xfId="0" applyFont="1" applyAlignment="1">
      <alignment vertical="center"/>
    </xf>
    <xf numFmtId="165" fontId="0" fillId="8" borderId="0" xfId="0" applyNumberFormat="1" applyFill="1"/>
    <xf numFmtId="165" fontId="0" fillId="4" borderId="0" xfId="0" applyNumberFormat="1" applyFill="1"/>
    <xf numFmtId="2" fontId="0" fillId="6" borderId="0" xfId="0" applyNumberFormat="1" applyFill="1" applyAlignment="1">
      <alignment horizontal="center"/>
    </xf>
    <xf numFmtId="166" fontId="0" fillId="6" borderId="0" xfId="0" applyNumberFormat="1" applyFill="1" applyAlignment="1">
      <alignment horizontal="center"/>
    </xf>
    <xf numFmtId="0" fontId="0" fillId="5" borderId="0" xfId="0" applyFill="1"/>
    <xf numFmtId="2" fontId="0" fillId="4" borderId="0" xfId="0" applyNumberFormat="1" applyFill="1"/>
    <xf numFmtId="2" fontId="0" fillId="8" borderId="0" xfId="0" applyNumberFormat="1" applyFill="1"/>
    <xf numFmtId="0" fontId="4" fillId="0" borderId="1" xfId="0" applyFont="1" applyBorder="1" applyAlignment="1">
      <alignment horizontal="right"/>
    </xf>
    <xf numFmtId="0" fontId="4" fillId="0" borderId="0" xfId="0" applyFont="1" applyFill="1" applyBorder="1" applyAlignment="1"/>
    <xf numFmtId="0" fontId="8" fillId="0" borderId="0" xfId="0" applyFont="1" applyFill="1" applyAlignment="1">
      <alignment horizontal="center"/>
    </xf>
    <xf numFmtId="43" fontId="0" fillId="0" borderId="0" xfId="4" applyFont="1" applyBorder="1" applyAlignment="1">
      <alignment wrapText="1"/>
    </xf>
    <xf numFmtId="1" fontId="0" fillId="9" borderId="0" xfId="0" applyNumberFormat="1" applyFill="1"/>
    <xf numFmtId="0" fontId="0" fillId="9" borderId="0" xfId="0" applyFill="1"/>
    <xf numFmtId="0" fontId="4" fillId="0" borderId="0" xfId="0" applyFont="1" applyAlignment="1">
      <alignment horizontal="center" vertical="center"/>
    </xf>
    <xf numFmtId="0" fontId="4" fillId="0" borderId="1" xfId="0" applyFont="1" applyBorder="1"/>
    <xf numFmtId="0" fontId="0" fillId="4" borderId="0" xfId="0" applyFill="1" applyAlignment="1"/>
    <xf numFmtId="0" fontId="0" fillId="8" borderId="0" xfId="0" applyFill="1" applyAlignment="1"/>
    <xf numFmtId="1" fontId="5" fillId="0" borderId="0" xfId="0" applyNumberFormat="1" applyFont="1"/>
    <xf numFmtId="0" fontId="4" fillId="2" borderId="0" xfId="0" applyFont="1" applyFill="1" applyAlignment="1">
      <alignment horizontal="center" vertical="center" wrapText="1"/>
    </xf>
    <xf numFmtId="3" fontId="4" fillId="0" borderId="0" xfId="0" applyNumberFormat="1" applyFont="1" applyFill="1" applyAlignment="1">
      <alignment horizontal="center" vertical="center" wrapText="1"/>
    </xf>
    <xf numFmtId="3" fontId="4" fillId="0" borderId="0" xfId="0" applyNumberFormat="1" applyFont="1" applyFill="1"/>
    <xf numFmtId="165" fontId="0" fillId="0" borderId="0" xfId="0" applyNumberFormat="1" applyFill="1" applyAlignment="1">
      <alignment wrapText="1"/>
    </xf>
    <xf numFmtId="1" fontId="0" fillId="0" borderId="0" xfId="0" applyNumberFormat="1" applyAlignment="1"/>
    <xf numFmtId="0" fontId="0" fillId="0" borderId="0" xfId="0" applyAlignment="1">
      <alignment horizontal="right" vertical="center"/>
    </xf>
    <xf numFmtId="9" fontId="0" fillId="8" borderId="0" xfId="0" applyNumberFormat="1" applyFill="1" applyAlignment="1">
      <alignment horizontal="right"/>
    </xf>
    <xf numFmtId="9" fontId="0" fillId="4" borderId="0" xfId="0" applyNumberFormat="1" applyFill="1"/>
    <xf numFmtId="2" fontId="0" fillId="0" borderId="0" xfId="0" applyNumberFormat="1" applyFill="1"/>
    <xf numFmtId="0" fontId="5" fillId="6" borderId="1" xfId="0" applyFont="1" applyFill="1" applyBorder="1" applyAlignment="1">
      <alignment horizontal="center"/>
    </xf>
    <xf numFmtId="2" fontId="0" fillId="0" borderId="0" xfId="0" applyNumberFormat="1" applyFill="1" applyAlignment="1">
      <alignment horizontal="center"/>
    </xf>
    <xf numFmtId="2" fontId="0" fillId="0" borderId="0" xfId="0" applyNumberFormat="1" applyAlignment="1"/>
    <xf numFmtId="166" fontId="7" fillId="0" borderId="0" xfId="0" applyNumberFormat="1" applyFont="1" applyAlignment="1">
      <alignment horizontal="right" vertical="center"/>
    </xf>
    <xf numFmtId="166" fontId="16" fillId="0" borderId="0" xfId="0" applyNumberFormat="1" applyFont="1" applyAlignment="1">
      <alignment horizontal="right"/>
    </xf>
    <xf numFmtId="9" fontId="8" fillId="0" borderId="1" xfId="0" applyNumberFormat="1" applyFont="1" applyFill="1" applyBorder="1" applyAlignment="1">
      <alignment horizontal="center"/>
    </xf>
    <xf numFmtId="0" fontId="5" fillId="0" borderId="0" xfId="0" applyFont="1" applyFill="1" applyBorder="1" applyAlignment="1">
      <alignment horizontal="center"/>
    </xf>
    <xf numFmtId="165" fontId="0" fillId="10" borderId="0" xfId="0" applyNumberFormat="1" applyFill="1"/>
    <xf numFmtId="0" fontId="0" fillId="8" borderId="0" xfId="0" applyFill="1"/>
    <xf numFmtId="0" fontId="4" fillId="2" borderId="1" xfId="0" applyFont="1" applyFill="1" applyBorder="1" applyAlignment="1" applyProtection="1">
      <alignment horizontal="center"/>
      <protection locked="0"/>
    </xf>
    <xf numFmtId="0" fontId="0" fillId="8" borderId="0" xfId="0" applyFont="1" applyFill="1" applyAlignment="1"/>
    <xf numFmtId="0" fontId="0" fillId="4" borderId="0" xfId="0" applyFont="1" applyFill="1"/>
    <xf numFmtId="0" fontId="21" fillId="8" borderId="0" xfId="0" applyFont="1" applyFill="1" applyAlignment="1">
      <alignment horizontal="left" vertical="center" readingOrder="1"/>
    </xf>
    <xf numFmtId="0" fontId="4" fillId="8" borderId="0" xfId="0" applyFont="1" applyFill="1" applyAlignment="1"/>
    <xf numFmtId="0" fontId="4" fillId="4" borderId="0" xfId="0" applyFont="1" applyFill="1" applyAlignment="1"/>
    <xf numFmtId="2"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19" fillId="0" borderId="1" xfId="0" applyFont="1" applyFill="1" applyBorder="1" applyAlignment="1">
      <alignment horizontal="center" vertical="center" wrapText="1"/>
    </xf>
    <xf numFmtId="1" fontId="19" fillId="0" borderId="1" xfId="0" applyNumberFormat="1" applyFont="1" applyFill="1" applyBorder="1" applyAlignment="1">
      <alignment horizontal="center" vertical="center"/>
    </xf>
    <xf numFmtId="0" fontId="9" fillId="0" borderId="0" xfId="0" applyFont="1" applyFill="1" applyBorder="1" applyAlignment="1"/>
    <xf numFmtId="9" fontId="4" fillId="2" borderId="1" xfId="0" applyNumberFormat="1" applyFont="1" applyFill="1" applyBorder="1" applyAlignment="1" applyProtection="1">
      <alignment horizontal="center"/>
      <protection locked="0"/>
    </xf>
    <xf numFmtId="0" fontId="4" fillId="0" borderId="0" xfId="0" applyFont="1" applyBorder="1" applyAlignment="1"/>
    <xf numFmtId="0" fontId="0" fillId="0" borderId="0" xfId="0" applyProtection="1"/>
    <xf numFmtId="1" fontId="0" fillId="0" borderId="0" xfId="0" applyNumberFormat="1" applyBorder="1"/>
    <xf numFmtId="0" fontId="7" fillId="0" borderId="0" xfId="0" applyFont="1" applyAlignment="1">
      <alignment horizontal="center" vertical="center" wrapText="1"/>
    </xf>
    <xf numFmtId="9" fontId="7" fillId="0" borderId="0" xfId="0" applyNumberFormat="1" applyFont="1" applyAlignment="1">
      <alignment horizontal="right"/>
    </xf>
    <xf numFmtId="0" fontId="10" fillId="0" borderId="0" xfId="0" applyFont="1"/>
    <xf numFmtId="0" fontId="4" fillId="0" borderId="0" xfId="0" applyFont="1" applyFill="1" applyAlignment="1">
      <alignment horizontal="center" vertical="center" wrapText="1"/>
    </xf>
    <xf numFmtId="165" fontId="4" fillId="0" borderId="0" xfId="0" applyNumberFormat="1" applyFont="1" applyFill="1"/>
    <xf numFmtId="0" fontId="4" fillId="11" borderId="0" xfId="0" applyFont="1" applyFill="1" applyAlignment="1">
      <alignment horizontal="center" vertical="center" wrapText="1"/>
    </xf>
    <xf numFmtId="3" fontId="4" fillId="11" borderId="0" xfId="0" applyNumberFormat="1" applyFont="1" applyFill="1"/>
    <xf numFmtId="0" fontId="9" fillId="11" borderId="0" xfId="0" applyFont="1" applyFill="1" applyAlignment="1">
      <alignment horizontal="center" vertical="center" wrapText="1"/>
    </xf>
    <xf numFmtId="1" fontId="4" fillId="11" borderId="0" xfId="0" applyNumberFormat="1" applyFont="1" applyFill="1"/>
    <xf numFmtId="0" fontId="0" fillId="10" borderId="0" xfId="0" applyFill="1" applyAlignment="1">
      <alignment horizontal="center"/>
    </xf>
    <xf numFmtId="0" fontId="5" fillId="0" borderId="0" xfId="0" applyFont="1" applyAlignment="1">
      <alignment horizontal="center"/>
    </xf>
    <xf numFmtId="0" fontId="0" fillId="0" borderId="10" xfId="0" applyBorder="1" applyAlignment="1">
      <alignment horizontal="center" vertical="center" wrapText="1"/>
    </xf>
    <xf numFmtId="166" fontId="16" fillId="0" borderId="0" xfId="0" applyNumberFormat="1" applyFont="1" applyBorder="1" applyAlignment="1">
      <alignment horizontal="right"/>
    </xf>
    <xf numFmtId="166" fontId="16" fillId="0" borderId="11" xfId="0" applyNumberFormat="1" applyFont="1" applyFill="1" applyBorder="1" applyAlignment="1">
      <alignment horizontal="center" vertical="center" wrapText="1"/>
    </xf>
    <xf numFmtId="0" fontId="10" fillId="0" borderId="0" xfId="0" applyFont="1" applyAlignment="1">
      <alignment horizontal="left"/>
    </xf>
    <xf numFmtId="0" fontId="0" fillId="0" borderId="0" xfId="0" applyAlignment="1">
      <alignment horizontal="left" vertical="top" wrapText="1"/>
    </xf>
    <xf numFmtId="166" fontId="11" fillId="0" borderId="0" xfId="0" applyNumberFormat="1" applyFont="1" applyAlignment="1">
      <alignment horizontal="right"/>
    </xf>
    <xf numFmtId="1" fontId="4" fillId="0" borderId="0" xfId="0" applyNumberFormat="1" applyFont="1" applyFill="1"/>
    <xf numFmtId="0" fontId="10" fillId="10" borderId="0" xfId="0" applyFont="1" applyFill="1" applyAlignment="1">
      <alignment horizontal="center" vertical="center" wrapText="1"/>
    </xf>
    <xf numFmtId="3" fontId="10" fillId="10" borderId="0" xfId="0" applyNumberFormat="1" applyFont="1" applyFill="1"/>
    <xf numFmtId="0" fontId="0" fillId="0" borderId="0" xfId="0" applyAlignment="1" applyProtection="1">
      <alignment horizontal="center"/>
      <protection locked="0"/>
    </xf>
    <xf numFmtId="0" fontId="0" fillId="0" borderId="0" xfId="0" applyProtection="1">
      <protection locked="0"/>
    </xf>
    <xf numFmtId="0" fontId="0" fillId="0" borderId="1" xfId="0"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0" fillId="2" borderId="1" xfId="0" applyFill="1" applyBorder="1" applyAlignment="1" applyProtection="1">
      <alignment horizontal="center"/>
      <protection locked="0"/>
    </xf>
    <xf numFmtId="0" fontId="0" fillId="0" borderId="1" xfId="0" applyFont="1" applyBorder="1" applyAlignment="1" applyProtection="1">
      <alignment horizontal="center" vertical="center" wrapText="1"/>
      <protection locked="0"/>
    </xf>
    <xf numFmtId="1" fontId="0" fillId="0" borderId="1" xfId="0" applyNumberFormat="1" applyFont="1" applyBorder="1" applyAlignment="1" applyProtection="1">
      <alignment horizontal="center" vertical="center" wrapText="1"/>
      <protection locked="0"/>
    </xf>
    <xf numFmtId="0" fontId="0" fillId="2" borderId="0" xfId="0" applyFill="1" applyAlignment="1" applyProtection="1">
      <alignment horizontal="center"/>
      <protection locked="0"/>
    </xf>
    <xf numFmtId="0" fontId="15" fillId="0" borderId="1" xfId="0" applyFont="1" applyBorder="1" applyAlignment="1" applyProtection="1">
      <alignment horizontal="center"/>
    </xf>
    <xf numFmtId="0" fontId="27" fillId="0" borderId="1" xfId="0" applyFont="1" applyFill="1" applyBorder="1" applyAlignment="1">
      <alignment horizontal="center" vertical="center" wrapText="1"/>
    </xf>
    <xf numFmtId="0" fontId="0" fillId="0" borderId="0" xfId="0" applyAlignment="1">
      <alignment vertical="center" wrapText="1"/>
    </xf>
    <xf numFmtId="167" fontId="0" fillId="2" borderId="1" xfId="0" applyNumberFormat="1" applyFill="1" applyBorder="1" applyAlignment="1" applyProtection="1">
      <alignment horizontal="center"/>
      <protection locked="0"/>
    </xf>
    <xf numFmtId="165" fontId="8" fillId="0" borderId="0" xfId="0" applyNumberFormat="1" applyFont="1" applyFill="1" applyBorder="1" applyAlignment="1">
      <alignment horizontal="center"/>
    </xf>
    <xf numFmtId="3" fontId="0" fillId="7" borderId="0" xfId="0" applyNumberFormat="1" applyFill="1"/>
    <xf numFmtId="0" fontId="0" fillId="12" borderId="0" xfId="0" applyFill="1"/>
    <xf numFmtId="3" fontId="0" fillId="12" borderId="0" xfId="0" applyNumberFormat="1" applyFill="1"/>
    <xf numFmtId="0" fontId="0" fillId="12" borderId="1" xfId="0" applyFill="1" applyBorder="1"/>
    <xf numFmtId="3" fontId="0" fillId="12" borderId="1" xfId="0" applyNumberFormat="1" applyFill="1" applyBorder="1"/>
    <xf numFmtId="0" fontId="0" fillId="12" borderId="0" xfId="0" applyFill="1" applyAlignment="1">
      <alignment horizontal="center" vertical="center" wrapText="1"/>
    </xf>
    <xf numFmtId="0" fontId="0" fillId="0" borderId="1" xfId="0" applyFont="1" applyBorder="1" applyAlignment="1">
      <alignment horizontal="center" vertical="center"/>
    </xf>
    <xf numFmtId="2" fontId="8" fillId="0" borderId="0" xfId="0" applyNumberFormat="1" applyFont="1" applyFill="1" applyAlignment="1">
      <alignment horizontal="center"/>
    </xf>
    <xf numFmtId="2" fontId="4" fillId="6" borderId="1" xfId="0" applyNumberFormat="1" applyFont="1" applyFill="1" applyBorder="1" applyAlignment="1">
      <alignment horizontal="center" vertical="center"/>
    </xf>
    <xf numFmtId="1" fontId="0" fillId="6" borderId="0" xfId="0" applyNumberFormat="1" applyFill="1" applyBorder="1" applyAlignment="1">
      <alignment horizontal="center" vertical="center" wrapText="1"/>
    </xf>
    <xf numFmtId="0" fontId="0" fillId="6" borderId="0" xfId="0" applyFill="1" applyAlignment="1" applyProtection="1">
      <alignment horizontal="center"/>
      <protection locked="0"/>
    </xf>
    <xf numFmtId="9" fontId="4" fillId="2" borderId="2" xfId="0" applyNumberFormat="1" applyFont="1" applyFill="1" applyBorder="1" applyAlignment="1" applyProtection="1">
      <alignment horizontal="center"/>
      <protection locked="0"/>
    </xf>
    <xf numFmtId="0" fontId="4" fillId="0" borderId="0" xfId="0" applyFont="1" applyAlignment="1" applyProtection="1">
      <alignment horizontal="left"/>
    </xf>
    <xf numFmtId="0" fontId="0" fillId="0" borderId="0" xfId="0" applyAlignment="1" applyProtection="1">
      <alignment horizontal="center"/>
    </xf>
    <xf numFmtId="0" fontId="0" fillId="0" borderId="0" xfId="0" applyAlignment="1" applyProtection="1">
      <alignment horizontal="left"/>
    </xf>
    <xf numFmtId="0" fontId="0" fillId="2" borderId="1" xfId="0" applyFill="1" applyBorder="1" applyAlignment="1" applyProtection="1">
      <alignment horizontal="center"/>
    </xf>
    <xf numFmtId="0" fontId="4" fillId="0" borderId="0" xfId="0" applyFont="1" applyAlignment="1" applyProtection="1">
      <alignment horizontal="right"/>
    </xf>
    <xf numFmtId="0" fontId="4" fillId="0" borderId="0" xfId="0" applyFont="1" applyAlignment="1" applyProtection="1">
      <alignment horizontal="center"/>
    </xf>
    <xf numFmtId="0" fontId="0" fillId="0" borderId="0" xfId="0" applyFont="1" applyAlignment="1" applyProtection="1">
      <alignment horizontal="left"/>
    </xf>
    <xf numFmtId="164" fontId="0" fillId="0" borderId="1" xfId="0" applyNumberFormat="1" applyBorder="1" applyAlignment="1" applyProtection="1">
      <alignment horizontal="center"/>
    </xf>
    <xf numFmtId="0" fontId="16" fillId="0" borderId="0" xfId="0" applyFont="1" applyProtection="1"/>
    <xf numFmtId="0" fontId="4" fillId="2" borderId="1" xfId="0" applyFont="1" applyFill="1" applyBorder="1" applyAlignment="1" applyProtection="1">
      <alignment horizontal="center"/>
    </xf>
    <xf numFmtId="166" fontId="8" fillId="0" borderId="1" xfId="0" applyNumberFormat="1" applyFont="1" applyFill="1" applyBorder="1" applyAlignment="1" applyProtection="1">
      <alignment horizontal="center"/>
    </xf>
    <xf numFmtId="0" fontId="15" fillId="0" borderId="0" xfId="0" applyFont="1" applyBorder="1" applyAlignment="1" applyProtection="1">
      <alignment horizontal="center"/>
    </xf>
    <xf numFmtId="0" fontId="7" fillId="0" borderId="0" xfId="0" applyFont="1" applyAlignment="1" applyProtection="1">
      <alignment horizontal="left"/>
    </xf>
    <xf numFmtId="16" fontId="0" fillId="0" borderId="0" xfId="0" applyNumberFormat="1" applyProtection="1"/>
    <xf numFmtId="0" fontId="4" fillId="0" borderId="0" xfId="0" applyFont="1" applyAlignment="1" applyProtection="1"/>
    <xf numFmtId="0" fontId="4" fillId="0" borderId="0" xfId="0" applyFont="1" applyBorder="1" applyAlignment="1" applyProtection="1">
      <alignment horizontal="center"/>
    </xf>
    <xf numFmtId="0" fontId="0" fillId="0" borderId="0" xfId="0" applyBorder="1" applyProtection="1"/>
    <xf numFmtId="1" fontId="0" fillId="0" borderId="0" xfId="0" applyNumberFormat="1" applyFont="1" applyAlignment="1" applyProtection="1">
      <alignment horizontal="center" vertical="center" wrapText="1"/>
    </xf>
    <xf numFmtId="0" fontId="4" fillId="0" borderId="0" xfId="0" applyFont="1" applyProtection="1"/>
    <xf numFmtId="0" fontId="22" fillId="0" borderId="4" xfId="0" applyFont="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1"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1" fontId="0" fillId="0" borderId="1" xfId="0" applyNumberFormat="1" applyFont="1" applyBorder="1" applyAlignment="1" applyProtection="1">
      <alignment horizontal="center" vertical="center" wrapText="1"/>
    </xf>
    <xf numFmtId="1" fontId="17" fillId="0" borderId="1" xfId="0" applyNumberFormat="1" applyFont="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12" fillId="0" borderId="0" xfId="0" applyFont="1" applyAlignment="1" applyProtection="1"/>
    <xf numFmtId="1" fontId="17" fillId="0" borderId="1" xfId="0" applyNumberFormat="1" applyFont="1" applyBorder="1" applyAlignment="1" applyProtection="1">
      <alignment horizontal="center"/>
    </xf>
    <xf numFmtId="0" fontId="0" fillId="0" borderId="1" xfId="0" applyBorder="1" applyAlignment="1" applyProtection="1">
      <alignment horizontal="center"/>
    </xf>
    <xf numFmtId="9" fontId="4" fillId="2" borderId="1" xfId="0" applyNumberFormat="1" applyFont="1" applyFill="1" applyBorder="1" applyAlignment="1" applyProtection="1">
      <alignment horizontal="center"/>
    </xf>
    <xf numFmtId="0" fontId="0" fillId="0" borderId="1" xfId="0" applyBorder="1" applyProtection="1"/>
    <xf numFmtId="166" fontId="0" fillId="0" borderId="0" xfId="0" applyNumberFormat="1" applyProtection="1"/>
    <xf numFmtId="1" fontId="0" fillId="0" borderId="1" xfId="0" applyNumberFormat="1" applyBorder="1" applyAlignment="1" applyProtection="1">
      <alignment horizontal="center"/>
    </xf>
    <xf numFmtId="164" fontId="0" fillId="0" borderId="0" xfId="0" applyNumberFormat="1" applyBorder="1" applyAlignment="1" applyProtection="1">
      <alignment horizontal="center"/>
    </xf>
    <xf numFmtId="0" fontId="4" fillId="0" borderId="4" xfId="0" applyFont="1" applyBorder="1" applyAlignment="1" applyProtection="1">
      <alignment horizontal="center" vertical="center" wrapText="1"/>
    </xf>
    <xf numFmtId="0" fontId="13" fillId="0" borderId="0" xfId="0" applyFont="1" applyAlignment="1" applyProtection="1">
      <alignment wrapText="1"/>
    </xf>
    <xf numFmtId="0" fontId="0" fillId="0" borderId="0" xfId="0" applyBorder="1" applyAlignment="1" applyProtection="1">
      <alignment horizontal="center" vertical="center"/>
    </xf>
    <xf numFmtId="164" fontId="0" fillId="0" borderId="0" xfId="0" applyNumberFormat="1" applyProtection="1"/>
    <xf numFmtId="166" fontId="0" fillId="0" borderId="0" xfId="0" applyNumberFormat="1" applyFont="1" applyProtection="1"/>
    <xf numFmtId="0" fontId="0" fillId="0" borderId="0" xfId="0" applyFont="1" applyProtection="1"/>
    <xf numFmtId="0" fontId="14" fillId="0" borderId="0" xfId="0" applyFont="1" applyProtection="1"/>
    <xf numFmtId="166" fontId="4" fillId="2" borderId="1" xfId="0" applyNumberFormat="1" applyFont="1" applyFill="1" applyBorder="1" applyAlignment="1" applyProtection="1">
      <alignment horizontal="center"/>
    </xf>
    <xf numFmtId="164" fontId="0" fillId="0" borderId="0" xfId="0" applyNumberFormat="1" applyAlignment="1" applyProtection="1">
      <alignment horizontal="center"/>
    </xf>
    <xf numFmtId="166" fontId="0" fillId="0" borderId="0" xfId="0" applyNumberFormat="1" applyAlignment="1" applyProtection="1">
      <alignment horizontal="center"/>
    </xf>
    <xf numFmtId="0" fontId="0" fillId="0" borderId="0" xfId="0" applyAlignment="1" applyProtection="1">
      <alignment vertical="center" wrapText="1"/>
    </xf>
    <xf numFmtId="0" fontId="16" fillId="0" borderId="0" xfId="0" applyFont="1" applyAlignment="1" applyProtection="1">
      <alignment vertical="center" wrapText="1"/>
    </xf>
    <xf numFmtId="0" fontId="0" fillId="0" borderId="0" xfId="0" applyAlignment="1" applyProtection="1">
      <alignment horizontal="left" vertical="center"/>
    </xf>
    <xf numFmtId="165" fontId="16" fillId="0" borderId="0" xfId="0" applyNumberFormat="1" applyFont="1" applyFill="1" applyBorder="1" applyAlignment="1" applyProtection="1">
      <alignment horizontal="right"/>
    </xf>
    <xf numFmtId="0" fontId="0" fillId="0" borderId="0" xfId="0" applyAlignment="1" applyProtection="1">
      <alignment horizontal="center" wrapText="1"/>
    </xf>
    <xf numFmtId="1" fontId="0" fillId="0" borderId="0" xfId="0" applyNumberFormat="1" applyProtection="1"/>
    <xf numFmtId="165" fontId="0" fillId="0" borderId="0" xfId="0" applyNumberFormat="1" applyProtection="1"/>
    <xf numFmtId="1" fontId="4" fillId="0" borderId="0" xfId="0" applyNumberFormat="1" applyFont="1" applyAlignment="1" applyProtection="1">
      <alignment horizontal="center"/>
    </xf>
    <xf numFmtId="1" fontId="4" fillId="0" borderId="18" xfId="0" applyNumberFormat="1" applyFont="1" applyBorder="1" applyAlignment="1" applyProtection="1">
      <alignment horizontal="center"/>
    </xf>
    <xf numFmtId="1" fontId="4" fillId="0" borderId="20" xfId="0" applyNumberFormat="1" applyFont="1" applyBorder="1" applyAlignment="1" applyProtection="1">
      <alignment horizontal="center"/>
    </xf>
    <xf numFmtId="0" fontId="0" fillId="0" borderId="19" xfId="0" applyBorder="1" applyProtection="1"/>
    <xf numFmtId="165" fontId="0" fillId="2" borderId="1" xfId="0" applyNumberFormat="1" applyFill="1" applyBorder="1" applyAlignment="1" applyProtection="1">
      <alignment horizontal="center"/>
      <protection locked="0"/>
    </xf>
    <xf numFmtId="167" fontId="0" fillId="2" borderId="1" xfId="0" applyNumberFormat="1" applyFill="1" applyBorder="1" applyProtection="1">
      <protection locked="0"/>
    </xf>
    <xf numFmtId="0" fontId="32" fillId="0" borderId="1" xfId="0" applyFont="1" applyBorder="1" applyAlignment="1">
      <alignment horizontal="center" vertical="center" wrapText="1"/>
    </xf>
    <xf numFmtId="1" fontId="30" fillId="0" borderId="1" xfId="0" applyNumberFormat="1" applyFont="1" applyBorder="1" applyAlignment="1">
      <alignment horizontal="center"/>
    </xf>
    <xf numFmtId="0" fontId="0" fillId="0" borderId="0" xfId="0" applyFill="1" applyAlignment="1">
      <alignment horizontal="left" vertical="center"/>
    </xf>
    <xf numFmtId="0" fontId="0" fillId="0" borderId="0" xfId="0" applyBorder="1" applyAlignment="1">
      <alignment vertical="top" wrapText="1"/>
    </xf>
    <xf numFmtId="0" fontId="5" fillId="0" borderId="0" xfId="0" applyFont="1" applyFill="1" applyBorder="1" applyAlignment="1">
      <alignment vertical="center"/>
    </xf>
    <xf numFmtId="1" fontId="0" fillId="9" borderId="1" xfId="0" applyNumberFormat="1" applyFill="1" applyBorder="1"/>
    <xf numFmtId="3" fontId="4" fillId="9" borderId="1" xfId="0" applyNumberFormat="1" applyFont="1" applyFill="1" applyBorder="1"/>
    <xf numFmtId="3" fontId="0" fillId="9" borderId="1" xfId="0" applyNumberFormat="1" applyFill="1" applyBorder="1"/>
    <xf numFmtId="3" fontId="0" fillId="0" borderId="1" xfId="0" applyNumberFormat="1" applyFill="1" applyBorder="1"/>
    <xf numFmtId="0" fontId="5" fillId="0" borderId="0" xfId="0" applyFont="1" applyBorder="1" applyAlignment="1"/>
    <xf numFmtId="0" fontId="23" fillId="0" borderId="0" xfId="0" applyFont="1" applyAlignment="1">
      <alignment vertical="top"/>
    </xf>
    <xf numFmtId="0" fontId="18" fillId="0" borderId="0" xfId="0" applyFont="1"/>
    <xf numFmtId="1" fontId="0" fillId="6" borderId="0" xfId="0" applyNumberFormat="1" applyFill="1"/>
    <xf numFmtId="1" fontId="4" fillId="6" borderId="0" xfId="0" applyNumberFormat="1" applyFont="1" applyFill="1"/>
    <xf numFmtId="0" fontId="4" fillId="6" borderId="0" xfId="0" applyFont="1" applyFill="1" applyAlignment="1">
      <alignment horizontal="center"/>
    </xf>
    <xf numFmtId="0" fontId="4" fillId="6" borderId="0" xfId="0" applyFont="1" applyFill="1" applyAlignment="1">
      <alignment horizontal="center" vertical="center" wrapText="1"/>
    </xf>
    <xf numFmtId="0" fontId="10" fillId="0" borderId="0" xfId="0" applyFont="1" applyFill="1" applyAlignment="1">
      <alignment horizontal="center" vertical="center" wrapText="1"/>
    </xf>
    <xf numFmtId="2" fontId="0" fillId="0" borderId="0" xfId="0" applyNumberFormat="1" applyFont="1"/>
    <xf numFmtId="9"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protection locked="0"/>
    </xf>
    <xf numFmtId="0" fontId="25" fillId="0" borderId="0" xfId="0" applyFont="1" applyAlignment="1">
      <alignment vertical="top" wrapText="1"/>
    </xf>
    <xf numFmtId="0" fontId="0" fillId="0" borderId="0" xfId="0" applyAlignment="1">
      <alignment horizontal="left" vertical="center" wrapText="1"/>
    </xf>
    <xf numFmtId="0" fontId="0" fillId="0" borderId="0" xfId="0" applyAlignment="1">
      <alignment horizontal="right"/>
    </xf>
    <xf numFmtId="0" fontId="4" fillId="0" borderId="0" xfId="0" applyFont="1" applyAlignment="1">
      <alignment horizontal="left"/>
    </xf>
    <xf numFmtId="0" fontId="0" fillId="13" borderId="0" xfId="0" applyFill="1" applyAlignment="1">
      <alignment horizontal="center" vertical="center" wrapText="1"/>
    </xf>
    <xf numFmtId="0" fontId="0" fillId="0" borderId="0" xfId="0" applyAlignment="1" applyProtection="1">
      <protection locked="0"/>
    </xf>
    <xf numFmtId="164" fontId="0" fillId="0" borderId="1" xfId="0" applyNumberFormat="1" applyBorder="1"/>
    <xf numFmtId="0" fontId="0" fillId="11" borderId="0" xfId="0" applyFill="1" applyAlignment="1" applyProtection="1">
      <alignment horizontal="center"/>
      <protection locked="0"/>
    </xf>
    <xf numFmtId="0" fontId="0" fillId="11" borderId="0" xfId="0" applyFill="1" applyAlignment="1">
      <alignment horizontal="center" vertical="center" wrapText="1"/>
    </xf>
    <xf numFmtId="0" fontId="0" fillId="11" borderId="0" xfId="0" applyFill="1"/>
    <xf numFmtId="1" fontId="0" fillId="11" borderId="0" xfId="0" applyNumberFormat="1" applyFill="1"/>
    <xf numFmtId="3" fontId="0" fillId="0" borderId="0" xfId="0" applyNumberFormat="1" applyFill="1"/>
    <xf numFmtId="3" fontId="5" fillId="0" borderId="1" xfId="0" applyNumberFormat="1" applyFont="1" applyFill="1" applyBorder="1"/>
    <xf numFmtId="3" fontId="0" fillId="11" borderId="0" xfId="0" applyNumberFormat="1" applyFill="1"/>
    <xf numFmtId="0" fontId="9" fillId="7" borderId="0" xfId="0" applyFont="1" applyFill="1" applyAlignment="1" applyProtection="1">
      <alignment horizontal="center"/>
      <protection locked="0"/>
    </xf>
    <xf numFmtId="0" fontId="4" fillId="7" borderId="0" xfId="0" applyFont="1" applyFill="1" applyAlignment="1" applyProtection="1">
      <alignment horizontal="center"/>
      <protection locked="0"/>
    </xf>
    <xf numFmtId="0" fontId="0" fillId="0" borderId="0" xfId="0" applyAlignment="1" applyProtection="1">
      <alignment horizontal="right"/>
      <protection locked="0"/>
    </xf>
    <xf numFmtId="0" fontId="18" fillId="0" borderId="0" xfId="0" applyFont="1" applyAlignment="1" applyProtection="1">
      <alignment horizontal="right"/>
      <protection locked="0"/>
    </xf>
    <xf numFmtId="164" fontId="0" fillId="0" borderId="0" xfId="0" applyNumberFormat="1" applyFill="1"/>
    <xf numFmtId="164" fontId="0" fillId="0" borderId="1" xfId="0" applyNumberFormat="1" applyFont="1" applyFill="1" applyBorder="1" applyAlignment="1">
      <alignment horizontal="center"/>
    </xf>
    <xf numFmtId="0" fontId="5" fillId="0" borderId="0" xfId="0" applyFont="1" applyAlignment="1" applyProtection="1">
      <protection locked="0"/>
    </xf>
    <xf numFmtId="0" fontId="0" fillId="0" borderId="0" xfId="0" applyFill="1" applyAlignment="1" applyProtection="1">
      <alignment horizontal="center"/>
      <protection locked="0"/>
    </xf>
    <xf numFmtId="0" fontId="0" fillId="0" borderId="1" xfId="0" applyFill="1" applyBorder="1"/>
    <xf numFmtId="0" fontId="0" fillId="2" borderId="0" xfId="0" applyFill="1" applyAlignment="1">
      <alignment horizontal="center"/>
    </xf>
    <xf numFmtId="0" fontId="0" fillId="2" borderId="0" xfId="0" applyFill="1" applyAlignment="1">
      <alignment horizontal="right"/>
    </xf>
    <xf numFmtId="0" fontId="0" fillId="13" borderId="0" xfId="0" applyFill="1"/>
    <xf numFmtId="166" fontId="0" fillId="13" borderId="0" xfId="0" applyNumberFormat="1" applyFill="1"/>
    <xf numFmtId="2" fontId="0" fillId="13" borderId="0" xfId="0" applyNumberFormat="1" applyFill="1" applyAlignment="1">
      <alignment horizontal="right"/>
    </xf>
    <xf numFmtId="2" fontId="0" fillId="4" borderId="0" xfId="0" applyNumberFormat="1" applyFill="1" applyAlignment="1">
      <alignment horizontal="right"/>
    </xf>
    <xf numFmtId="0" fontId="4" fillId="2" borderId="1" xfId="0" applyFont="1" applyFill="1" applyBorder="1" applyAlignment="1">
      <alignment horizontal="center"/>
    </xf>
    <xf numFmtId="168" fontId="0" fillId="14" borderId="0" xfId="0" applyNumberFormat="1" applyFill="1" applyAlignment="1">
      <alignment horizontal="right"/>
    </xf>
    <xf numFmtId="169" fontId="0" fillId="0" borderId="0" xfId="0" applyNumberFormat="1"/>
    <xf numFmtId="0" fontId="4" fillId="10" borderId="0" xfId="0" applyFont="1" applyFill="1"/>
    <xf numFmtId="0" fontId="4" fillId="10" borderId="0" xfId="0" applyFont="1" applyFill="1" applyAlignment="1">
      <alignment horizontal="left" vertical="top" wrapText="1"/>
    </xf>
    <xf numFmtId="0" fontId="4" fillId="10" borderId="0" xfId="0" applyFont="1" applyFill="1" applyAlignment="1">
      <alignment horizontal="right"/>
    </xf>
    <xf numFmtId="165" fontId="4" fillId="10" borderId="0" xfId="0" applyNumberFormat="1" applyFont="1" applyFill="1"/>
    <xf numFmtId="165" fontId="4" fillId="10" borderId="0" xfId="0" applyNumberFormat="1" applyFont="1" applyFill="1" applyAlignment="1">
      <alignment wrapText="1"/>
    </xf>
    <xf numFmtId="165" fontId="4" fillId="10" borderId="0" xfId="0" applyNumberFormat="1" applyFont="1" applyFill="1" applyAlignment="1">
      <alignment horizontal="right"/>
    </xf>
    <xf numFmtId="0" fontId="40" fillId="0" borderId="0" xfId="0" applyFont="1" applyBorder="1" applyAlignment="1">
      <alignment vertical="center" textRotation="90" readingOrder="1"/>
    </xf>
    <xf numFmtId="0" fontId="0" fillId="6" borderId="0" xfId="0" applyFont="1" applyFill="1" applyAlignment="1" applyProtection="1">
      <alignment horizontal="center"/>
      <protection locked="0"/>
    </xf>
    <xf numFmtId="0" fontId="0" fillId="0" borderId="0" xfId="0" applyFill="1" applyAlignment="1" applyProtection="1">
      <protection locked="0"/>
    </xf>
    <xf numFmtId="0" fontId="0" fillId="0" borderId="0" xfId="0" applyAlignment="1" applyProtection="1">
      <alignment horizontal="center"/>
    </xf>
    <xf numFmtId="0" fontId="18" fillId="0" borderId="0" xfId="0" applyFont="1" applyProtection="1"/>
    <xf numFmtId="0" fontId="22" fillId="0" borderId="4" xfId="0" applyFont="1" applyBorder="1" applyAlignment="1" applyProtection="1">
      <alignment horizontal="left" vertical="center" wrapText="1"/>
    </xf>
    <xf numFmtId="0" fontId="0" fillId="0" borderId="1" xfId="0" applyBorder="1" applyAlignment="1" applyProtection="1">
      <alignment horizontal="center"/>
      <protection locked="0"/>
    </xf>
    <xf numFmtId="0" fontId="0" fillId="0" borderId="0" xfId="0" applyBorder="1" applyAlignment="1">
      <alignment horizontal="center"/>
    </xf>
    <xf numFmtId="0" fontId="10" fillId="0" borderId="0" xfId="0" applyFont="1" applyAlignment="1">
      <alignment horizontal="center"/>
    </xf>
    <xf numFmtId="0" fontId="0" fillId="0" borderId="0" xfId="0" applyAlignment="1">
      <alignment horizontal="center" wrapText="1"/>
    </xf>
    <xf numFmtId="165" fontId="0" fillId="0" borderId="1" xfId="0" applyNumberFormat="1" applyBorder="1" applyAlignment="1">
      <alignment horizontal="center"/>
    </xf>
    <xf numFmtId="0" fontId="9" fillId="0" borderId="0" xfId="0" applyFont="1" applyAlignment="1" applyProtection="1">
      <alignment horizontal="left"/>
    </xf>
    <xf numFmtId="1" fontId="0" fillId="0" borderId="0" xfId="0" applyNumberFormat="1" applyFill="1" applyBorder="1" applyAlignment="1">
      <alignment horizontal="center" vertical="center" wrapText="1"/>
    </xf>
    <xf numFmtId="0" fontId="5" fillId="0" borderId="0" xfId="0" applyFont="1" applyBorder="1" applyAlignment="1">
      <alignment vertical="top"/>
    </xf>
    <xf numFmtId="164" fontId="0" fillId="0" borderId="4" xfId="0" applyNumberFormat="1" applyBorder="1" applyAlignment="1" applyProtection="1">
      <alignment horizontal="center"/>
    </xf>
    <xf numFmtId="0" fontId="4" fillId="2" borderId="4" xfId="0" applyFont="1" applyFill="1" applyBorder="1" applyAlignment="1" applyProtection="1">
      <alignment horizontal="center"/>
      <protection locked="0"/>
    </xf>
    <xf numFmtId="1" fontId="0" fillId="0" borderId="4" xfId="0" applyNumberFormat="1" applyBorder="1" applyAlignment="1" applyProtection="1">
      <alignment horizontal="center"/>
    </xf>
    <xf numFmtId="1" fontId="17" fillId="0" borderId="4" xfId="0" applyNumberFormat="1" applyFont="1" applyBorder="1" applyAlignment="1" applyProtection="1">
      <alignment horizontal="center"/>
    </xf>
    <xf numFmtId="0" fontId="0" fillId="0" borderId="4" xfId="0" applyBorder="1" applyAlignment="1" applyProtection="1">
      <alignment horizontal="center"/>
    </xf>
    <xf numFmtId="0" fontId="0" fillId="0" borderId="4" xfId="0" applyBorder="1" applyProtection="1"/>
    <xf numFmtId="16" fontId="0" fillId="0" borderId="1" xfId="0" applyNumberFormat="1" applyBorder="1" applyAlignment="1" applyProtection="1">
      <alignment horizontal="center"/>
    </xf>
    <xf numFmtId="0" fontId="0" fillId="0" borderId="1" xfId="0" applyBorder="1" applyAlignment="1" applyProtection="1">
      <alignment horizontal="right"/>
      <protection locked="0"/>
    </xf>
    <xf numFmtId="1" fontId="30" fillId="0" borderId="1" xfId="0" applyNumberFormat="1" applyFont="1" applyBorder="1" applyAlignment="1">
      <alignment horizontal="center" vertical="center"/>
    </xf>
    <xf numFmtId="0" fontId="0" fillId="0" borderId="0" xfId="0" applyBorder="1" applyAlignment="1">
      <alignment vertical="center" wrapText="1"/>
    </xf>
    <xf numFmtId="0" fontId="7" fillId="0" borderId="0" xfId="0" applyFont="1" applyBorder="1" applyAlignment="1">
      <alignment horizontal="right" vertical="center" wrapText="1"/>
    </xf>
    <xf numFmtId="0" fontId="30" fillId="0" borderId="12" xfId="0" applyFont="1" applyBorder="1" applyAlignment="1">
      <alignment horizontal="right" vertical="center"/>
    </xf>
    <xf numFmtId="3" fontId="5" fillId="0" borderId="1" xfId="0" applyNumberFormat="1" applyFont="1" applyBorder="1" applyAlignment="1">
      <alignment horizontal="center" vertical="top"/>
    </xf>
    <xf numFmtId="2" fontId="4" fillId="6" borderId="1" xfId="0" applyNumberFormat="1" applyFont="1" applyFill="1" applyBorder="1" applyAlignment="1" applyProtection="1">
      <alignment horizontal="center" vertical="center"/>
      <protection locked="0"/>
    </xf>
    <xf numFmtId="166" fontId="4" fillId="6" borderId="1" xfId="0" applyNumberFormat="1" applyFont="1" applyFill="1" applyBorder="1" applyAlignment="1" applyProtection="1">
      <alignment horizontal="center"/>
      <protection locked="0"/>
    </xf>
    <xf numFmtId="2" fontId="8" fillId="0" borderId="0" xfId="0" applyNumberFormat="1" applyFont="1" applyAlignment="1">
      <alignment horizontal="center" vertical="center"/>
    </xf>
    <xf numFmtId="9" fontId="8" fillId="0" borderId="0" xfId="0" applyNumberFormat="1" applyFont="1" applyAlignment="1">
      <alignment horizontal="center"/>
    </xf>
    <xf numFmtId="9" fontId="8" fillId="0" borderId="1" xfId="0" applyNumberFormat="1" applyFont="1" applyFill="1" applyBorder="1" applyAlignment="1" applyProtection="1">
      <alignment horizontal="center"/>
    </xf>
    <xf numFmtId="0" fontId="0" fillId="0" borderId="0" xfId="0" applyBorder="1" applyAlignment="1" applyProtection="1">
      <alignment horizontal="center"/>
    </xf>
    <xf numFmtId="167" fontId="0" fillId="0" borderId="0" xfId="0" applyNumberFormat="1" applyProtection="1"/>
    <xf numFmtId="167" fontId="15" fillId="0" borderId="1" xfId="0" applyNumberFormat="1" applyFont="1" applyBorder="1" applyAlignment="1" applyProtection="1">
      <alignment horizontal="center"/>
    </xf>
    <xf numFmtId="167" fontId="15" fillId="0" borderId="0" xfId="0" applyNumberFormat="1" applyFont="1" applyBorder="1" applyAlignment="1" applyProtection="1">
      <alignment horizontal="center"/>
    </xf>
    <xf numFmtId="167" fontId="0" fillId="0" borderId="1" xfId="0" applyNumberFormat="1" applyBorder="1" applyAlignment="1" applyProtection="1">
      <alignment horizontal="center" vertical="center" wrapText="1"/>
    </xf>
    <xf numFmtId="167" fontId="4" fillId="2" borderId="1" xfId="0" applyNumberFormat="1" applyFont="1" applyFill="1" applyBorder="1" applyAlignment="1" applyProtection="1">
      <alignment horizontal="center"/>
      <protection locked="0"/>
    </xf>
    <xf numFmtId="167" fontId="4" fillId="2" borderId="4" xfId="0" applyNumberFormat="1" applyFont="1" applyFill="1" applyBorder="1" applyAlignment="1" applyProtection="1">
      <alignment horizontal="center"/>
      <protection locked="0"/>
    </xf>
    <xf numFmtId="167" fontId="0" fillId="0" borderId="1" xfId="0" applyNumberFormat="1" applyBorder="1" applyAlignment="1" applyProtection="1">
      <alignment horizontal="center"/>
      <protection locked="0"/>
    </xf>
    <xf numFmtId="167" fontId="0" fillId="0" borderId="0" xfId="0" applyNumberFormat="1" applyProtection="1">
      <protection locked="0"/>
    </xf>
    <xf numFmtId="167" fontId="0" fillId="0" borderId="1" xfId="0" applyNumberFormat="1" applyBorder="1" applyAlignment="1" applyProtection="1">
      <alignment horizontal="center" vertical="center" wrapText="1"/>
      <protection locked="0"/>
    </xf>
    <xf numFmtId="167" fontId="4" fillId="2" borderId="1" xfId="0" applyNumberFormat="1" applyFont="1" applyFill="1" applyBorder="1" applyAlignment="1" applyProtection="1">
      <alignment horizontal="center"/>
    </xf>
    <xf numFmtId="167" fontId="0" fillId="0" borderId="0" xfId="0" applyNumberFormat="1" applyBorder="1" applyProtection="1"/>
    <xf numFmtId="0" fontId="0" fillId="0" borderId="16" xfId="0" applyBorder="1" applyProtection="1"/>
    <xf numFmtId="0" fontId="0" fillId="0" borderId="16" xfId="0" applyBorder="1" applyAlignment="1" applyProtection="1">
      <alignment horizontal="center"/>
    </xf>
    <xf numFmtId="0" fontId="0" fillId="0" borderId="16" xfId="0" applyFont="1" applyBorder="1" applyAlignment="1" applyProtection="1">
      <alignment horizontal="center" vertical="center" wrapText="1"/>
    </xf>
    <xf numFmtId="9" fontId="4" fillId="6" borderId="1" xfId="0" applyNumberFormat="1"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1" xfId="0" applyFill="1" applyBorder="1" applyAlignment="1">
      <alignment horizontal="center"/>
    </xf>
    <xf numFmtId="0" fontId="0" fillId="0" borderId="1" xfId="0" applyBorder="1" applyAlignment="1" applyProtection="1">
      <alignment horizontal="right"/>
    </xf>
    <xf numFmtId="1" fontId="0" fillId="0" borderId="1" xfId="0" applyNumberFormat="1" applyBorder="1" applyProtection="1"/>
    <xf numFmtId="1" fontId="4" fillId="2" borderId="1" xfId="0" applyNumberFormat="1" applyFont="1" applyFill="1" applyBorder="1" applyProtection="1">
      <protection locked="0"/>
    </xf>
    <xf numFmtId="15" fontId="0" fillId="0" borderId="0" xfId="0" applyNumberFormat="1" applyProtection="1"/>
    <xf numFmtId="0" fontId="0" fillId="0" borderId="1" xfId="0" applyBorder="1" applyAlignment="1" applyProtection="1">
      <alignment horizontal="center"/>
    </xf>
    <xf numFmtId="164" fontId="0" fillId="0" borderId="0" xfId="0" applyNumberFormat="1"/>
    <xf numFmtId="170" fontId="0" fillId="0" borderId="0" xfId="0" applyNumberFormat="1" applyAlignment="1">
      <alignment wrapText="1"/>
    </xf>
    <xf numFmtId="1" fontId="0" fillId="0" borderId="0" xfId="0" applyNumberFormat="1" applyBorder="1" applyAlignment="1">
      <alignment vertical="center" wrapText="1"/>
    </xf>
    <xf numFmtId="0" fontId="0" fillId="0" borderId="1" xfId="0" applyBorder="1"/>
    <xf numFmtId="0" fontId="0" fillId="7" borderId="0" xfId="0" applyFill="1" applyAlignment="1">
      <alignment horizontal="center" vertical="center" wrapText="1"/>
    </xf>
    <xf numFmtId="3" fontId="0" fillId="3" borderId="0" xfId="0" applyNumberFormat="1" applyFill="1"/>
    <xf numFmtId="9" fontId="0" fillId="3" borderId="0" xfId="0" applyNumberFormat="1" applyFill="1"/>
    <xf numFmtId="9" fontId="0" fillId="10" borderId="0" xfId="0" applyNumberFormat="1" applyFill="1"/>
    <xf numFmtId="2" fontId="0" fillId="16" borderId="0" xfId="0" applyNumberFormat="1" applyFill="1"/>
    <xf numFmtId="166" fontId="0" fillId="16" borderId="0" xfId="0" applyNumberFormat="1" applyFill="1"/>
    <xf numFmtId="9" fontId="0" fillId="8" borderId="0" xfId="0" applyNumberFormat="1" applyFill="1"/>
    <xf numFmtId="166" fontId="0" fillId="16" borderId="0" xfId="0" applyNumberFormat="1" applyFill="1" applyAlignment="1">
      <alignment horizontal="right"/>
    </xf>
    <xf numFmtId="0" fontId="45" fillId="0" borderId="0" xfId="0" applyFont="1"/>
    <xf numFmtId="165" fontId="8" fillId="0" borderId="0" xfId="0" applyNumberFormat="1" applyFont="1" applyAlignment="1">
      <alignment horizontal="center" vertical="center"/>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1" xfId="0"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0" fillId="0" borderId="0" xfId="0" applyAlignment="1">
      <alignment horizontal="left" vertical="center"/>
    </xf>
    <xf numFmtId="165" fontId="4" fillId="10" borderId="1" xfId="0" applyNumberFormat="1" applyFont="1" applyFill="1"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0" xfId="0" applyAlignment="1">
      <alignment horizontal="left"/>
    </xf>
    <xf numFmtId="0" fontId="4" fillId="0" borderId="0" xfId="0" applyFont="1" applyAlignment="1">
      <alignment horizontal="center"/>
    </xf>
    <xf numFmtId="0" fontId="0" fillId="6" borderId="0" xfId="0" applyFill="1" applyAlignment="1">
      <alignment horizontal="center"/>
    </xf>
    <xf numFmtId="0" fontId="0" fillId="0" borderId="0" xfId="0" applyAlignment="1">
      <alignment horizontal="center"/>
    </xf>
    <xf numFmtId="1" fontId="5" fillId="0" borderId="1" xfId="0" applyNumberFormat="1" applyFont="1" applyFill="1" applyBorder="1" applyAlignment="1">
      <alignment horizontal="center"/>
    </xf>
    <xf numFmtId="1" fontId="5" fillId="6" borderId="1" xfId="0" applyNumberFormat="1" applyFont="1" applyFill="1" applyBorder="1" applyAlignment="1">
      <alignment horizontal="center"/>
    </xf>
    <xf numFmtId="9" fontId="5" fillId="6" borderId="1" xfId="0" applyNumberFormat="1" applyFont="1" applyFill="1" applyBorder="1" applyAlignment="1">
      <alignment horizontal="right"/>
    </xf>
    <xf numFmtId="0" fontId="0" fillId="0" borderId="0" xfId="0" applyAlignment="1">
      <alignment horizontal="left" vertical="center"/>
    </xf>
    <xf numFmtId="0" fontId="4" fillId="7" borderId="1" xfId="0" applyFont="1" applyFill="1" applyBorder="1" applyAlignment="1">
      <alignment horizontal="center"/>
    </xf>
    <xf numFmtId="0" fontId="31" fillId="0" borderId="0" xfId="0" applyFont="1" applyAlignment="1">
      <alignment vertical="center" textRotation="90"/>
    </xf>
    <xf numFmtId="3" fontId="0" fillId="0" borderId="0" xfId="0" applyNumberFormat="1" applyProtection="1"/>
    <xf numFmtId="0" fontId="16" fillId="0" borderId="0" xfId="0" applyFont="1" applyAlignment="1">
      <alignment horizontal="center"/>
    </xf>
    <xf numFmtId="0" fontId="0" fillId="0" borderId="0" xfId="0" applyAlignment="1">
      <alignment horizontal="left"/>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1" fontId="5" fillId="0" borderId="0" xfId="0" applyNumberFormat="1" applyFont="1" applyAlignment="1">
      <alignment horizontal="center"/>
    </xf>
    <xf numFmtId="1" fontId="4" fillId="0" borderId="0" xfId="0" applyNumberFormat="1" applyFont="1" applyAlignment="1">
      <alignment horizontal="center"/>
    </xf>
    <xf numFmtId="3" fontId="0" fillId="0" borderId="0" xfId="0" applyNumberFormat="1" applyAlignment="1">
      <alignment horizontal="center"/>
    </xf>
    <xf numFmtId="9" fontId="9" fillId="2" borderId="0" xfId="0" applyNumberFormat="1" applyFont="1" applyFill="1" applyBorder="1" applyAlignment="1">
      <alignment horizontal="center"/>
    </xf>
    <xf numFmtId="0" fontId="4" fillId="0" borderId="0" xfId="0" applyFont="1" applyBorder="1" applyAlignment="1">
      <alignment vertical="center"/>
    </xf>
    <xf numFmtId="0" fontId="0" fillId="0" borderId="0" xfId="0" applyFont="1" applyBorder="1" applyAlignment="1">
      <alignment vertical="center" wrapText="1"/>
    </xf>
    <xf numFmtId="0" fontId="7" fillId="0" borderId="1" xfId="0" applyFont="1" applyBorder="1"/>
    <xf numFmtId="0" fontId="31" fillId="0" borderId="0" xfId="0" applyFont="1" applyAlignment="1">
      <alignment horizontal="center" vertical="center" textRotation="90" wrapText="1"/>
    </xf>
    <xf numFmtId="0" fontId="31" fillId="0" borderId="0" xfId="0" applyFont="1" applyAlignment="1">
      <alignment horizontal="center" vertical="center" textRotation="90"/>
    </xf>
    <xf numFmtId="0" fontId="0" fillId="0" borderId="0" xfId="0" applyAlignment="1">
      <alignment horizontal="left"/>
    </xf>
    <xf numFmtId="0" fontId="0" fillId="0" borderId="0" xfId="0" applyAlignment="1">
      <alignment horizontal="left" vertical="top"/>
    </xf>
    <xf numFmtId="0" fontId="0" fillId="0" borderId="0" xfId="0" applyAlignment="1">
      <alignment vertical="center" textRotation="90"/>
    </xf>
    <xf numFmtId="0" fontId="5" fillId="6" borderId="1" xfId="0" applyFont="1" applyFill="1" applyBorder="1" applyAlignment="1" applyProtection="1">
      <alignment horizontal="center"/>
      <protection locked="0"/>
    </xf>
    <xf numFmtId="0" fontId="4" fillId="0" borderId="2" xfId="0" applyFont="1" applyBorder="1" applyAlignment="1">
      <alignment vertical="center"/>
    </xf>
    <xf numFmtId="0" fontId="0" fillId="0" borderId="0" xfId="0" applyFill="1" applyAlignment="1">
      <alignment vertical="center" textRotation="90"/>
    </xf>
    <xf numFmtId="0" fontId="0" fillId="2" borderId="9" xfId="0" applyFill="1" applyBorder="1"/>
    <xf numFmtId="171" fontId="0" fillId="0" borderId="1" xfId="0" applyNumberFormat="1" applyFont="1" applyBorder="1" applyAlignment="1">
      <alignment horizontal="center"/>
    </xf>
    <xf numFmtId="0" fontId="47" fillId="0" borderId="0" xfId="0" applyFont="1" applyBorder="1" applyAlignment="1">
      <alignment vertical="top" wrapText="1"/>
    </xf>
    <xf numFmtId="0" fontId="4" fillId="6" borderId="22" xfId="0" applyFont="1" applyFill="1" applyBorder="1" applyAlignment="1" applyProtection="1">
      <alignment horizontal="center" vertical="center"/>
      <protection locked="0"/>
    </xf>
    <xf numFmtId="0" fontId="16" fillId="0" borderId="1" xfId="0" applyFont="1" applyBorder="1"/>
    <xf numFmtId="0" fontId="8" fillId="6" borderId="1" xfId="0" applyFont="1" applyFill="1" applyBorder="1" applyAlignment="1" applyProtection="1">
      <alignment horizontal="center"/>
      <protection locked="0"/>
    </xf>
    <xf numFmtId="1" fontId="16" fillId="0" borderId="1" xfId="0" applyNumberFormat="1" applyFont="1" applyBorder="1" applyAlignment="1">
      <alignment horizontal="center"/>
    </xf>
    <xf numFmtId="0" fontId="8" fillId="0" borderId="6" xfId="0" applyFont="1" applyBorder="1" applyAlignment="1">
      <alignment horizontal="center"/>
    </xf>
    <xf numFmtId="0" fontId="8" fillId="0" borderId="1" xfId="0" applyFont="1" applyBorder="1" applyAlignment="1">
      <alignment horizontal="center"/>
    </xf>
    <xf numFmtId="3" fontId="48" fillId="0" borderId="1" xfId="0" applyNumberFormat="1" applyFont="1" applyBorder="1" applyAlignment="1">
      <alignment horizontal="center" shrinkToFit="1"/>
    </xf>
    <xf numFmtId="3" fontId="48" fillId="0" borderId="2" xfId="0" applyNumberFormat="1" applyFont="1" applyBorder="1" applyAlignment="1">
      <alignment horizontal="center" shrinkToFit="1"/>
    </xf>
    <xf numFmtId="9" fontId="46" fillId="0" borderId="1" xfId="0" applyNumberFormat="1" applyFont="1" applyBorder="1" applyAlignment="1">
      <alignment horizontal="center" shrinkToFit="1"/>
    </xf>
    <xf numFmtId="9" fontId="46" fillId="0" borderId="2" xfId="0" applyNumberFormat="1" applyFont="1" applyBorder="1" applyAlignment="1">
      <alignment horizontal="center" shrinkToFit="1"/>
    </xf>
    <xf numFmtId="0" fontId="41" fillId="0" borderId="0" xfId="0" applyFont="1" applyBorder="1" applyAlignment="1">
      <alignment horizontal="center" vertical="center" textRotation="90" readingOrder="1"/>
    </xf>
    <xf numFmtId="0" fontId="0" fillId="0" borderId="0" xfId="0" applyFont="1" applyBorder="1" applyAlignment="1">
      <alignment horizontal="left" vertical="center" wrapText="1"/>
    </xf>
    <xf numFmtId="0" fontId="31" fillId="0" borderId="0" xfId="0" applyFont="1" applyAlignment="1">
      <alignment vertical="center" textRotation="90" wrapText="1"/>
    </xf>
    <xf numFmtId="0" fontId="4" fillId="0" borderId="3" xfId="0" applyFont="1" applyFill="1" applyBorder="1" applyAlignment="1" applyProtection="1">
      <alignment horizontal="center" vertical="center"/>
      <protection locked="0"/>
    </xf>
    <xf numFmtId="0" fontId="4" fillId="0" borderId="8" xfId="0" applyFont="1" applyBorder="1" applyAlignment="1"/>
    <xf numFmtId="0" fontId="4" fillId="0" borderId="3" xfId="0" applyFont="1" applyFill="1" applyBorder="1" applyAlignment="1" applyProtection="1">
      <alignment horizontal="center"/>
    </xf>
    <xf numFmtId="0" fontId="0" fillId="0" borderId="0" xfId="0" applyAlignment="1" applyProtection="1">
      <alignment horizontal="center"/>
    </xf>
    <xf numFmtId="1" fontId="8" fillId="0" borderId="2" xfId="0" applyNumberFormat="1" applyFont="1" applyBorder="1" applyAlignment="1">
      <alignment horizontal="right"/>
    </xf>
    <xf numFmtId="1" fontId="8" fillId="0" borderId="26" xfId="0" applyNumberFormat="1" applyFont="1" applyBorder="1" applyAlignment="1">
      <alignment horizontal="left"/>
    </xf>
    <xf numFmtId="0" fontId="5" fillId="0" borderId="0" xfId="0" applyFont="1" applyAlignment="1" applyProtection="1">
      <alignment horizontal="center"/>
    </xf>
    <xf numFmtId="0" fontId="4" fillId="0" borderId="1" xfId="0" applyFont="1" applyBorder="1" applyAlignment="1">
      <alignment horizontal="center" vertical="center" wrapText="1"/>
    </xf>
    <xf numFmtId="0" fontId="0" fillId="0" borderId="1" xfId="0" applyBorder="1" applyAlignment="1" applyProtection="1">
      <alignment horizontal="center"/>
    </xf>
    <xf numFmtId="1" fontId="4" fillId="2" borderId="1" xfId="0" applyNumberFormat="1" applyFont="1" applyFill="1" applyBorder="1" applyAlignment="1" applyProtection="1">
      <alignment horizontal="center"/>
      <protection locked="0"/>
    </xf>
    <xf numFmtId="0" fontId="0" fillId="0" borderId="0" xfId="0" applyAlignment="1" applyProtection="1">
      <alignment wrapText="1"/>
    </xf>
    <xf numFmtId="0" fontId="4" fillId="2" borderId="6" xfId="0" applyFont="1" applyFill="1" applyBorder="1" applyAlignment="1" applyProtection="1">
      <alignment horizontal="center"/>
      <protection locked="0"/>
    </xf>
    <xf numFmtId="0" fontId="4" fillId="0" borderId="1" xfId="0" applyFont="1" applyBorder="1" applyAlignment="1" applyProtection="1">
      <alignment horizontal="center" vertical="center" wrapText="1"/>
    </xf>
    <xf numFmtId="0" fontId="4" fillId="0" borderId="1" xfId="0" applyFont="1" applyBorder="1" applyAlignment="1" applyProtection="1">
      <alignment horizontal="center"/>
    </xf>
    <xf numFmtId="0" fontId="4" fillId="2" borderId="4" xfId="0" applyFont="1" applyFill="1" applyBorder="1" applyAlignment="1" applyProtection="1">
      <alignment horizontal="center"/>
    </xf>
    <xf numFmtId="0" fontId="25" fillId="0" borderId="1" xfId="0" applyFont="1" applyBorder="1" applyAlignment="1" applyProtection="1">
      <alignment horizontal="center" vertical="center" wrapText="1"/>
    </xf>
    <xf numFmtId="0" fontId="25" fillId="0" borderId="1" xfId="0" applyFont="1" applyBorder="1" applyAlignment="1" applyProtection="1">
      <alignment horizontal="center"/>
    </xf>
    <xf numFmtId="164" fontId="0" fillId="0" borderId="3"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 xfId="0" applyNumberFormat="1" applyBorder="1" applyAlignment="1" applyProtection="1">
      <alignment horizontal="center"/>
    </xf>
    <xf numFmtId="0" fontId="0" fillId="0" borderId="3" xfId="0" applyBorder="1" applyAlignment="1" applyProtection="1">
      <alignment horizontal="center"/>
    </xf>
    <xf numFmtId="0" fontId="4" fillId="0" borderId="3" xfId="0" applyFont="1" applyBorder="1" applyAlignment="1" applyProtection="1">
      <alignment horizontal="center"/>
    </xf>
    <xf numFmtId="0" fontId="0" fillId="0" borderId="0" xfId="0" applyAlignment="1">
      <alignment horizontal="left"/>
    </xf>
    <xf numFmtId="0" fontId="4" fillId="0" borderId="0" xfId="0" applyFont="1" applyAlignment="1">
      <alignment horizontal="center"/>
    </xf>
    <xf numFmtId="0" fontId="0" fillId="0" borderId="9" xfId="0" applyBorder="1" applyAlignment="1">
      <alignment horizontal="left" vertical="top"/>
    </xf>
    <xf numFmtId="0" fontId="0" fillId="4" borderId="0" xfId="0" applyFill="1" applyAlignment="1">
      <alignment horizontal="center" vertical="center" wrapText="1"/>
    </xf>
    <xf numFmtId="0" fontId="0" fillId="10" borderId="0" xfId="0" applyFill="1" applyAlignment="1">
      <alignment horizontal="center" vertical="center" wrapText="1"/>
    </xf>
    <xf numFmtId="0" fontId="4" fillId="10" borderId="0" xfId="0" applyFont="1" applyFill="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0" fillId="0" borderId="1" xfId="0" applyBorder="1" applyAlignment="1">
      <alignment horizontal="center"/>
    </xf>
    <xf numFmtId="0" fontId="0" fillId="0" borderId="0" xfId="0" applyAlignment="1">
      <alignment horizontal="center" vertical="center" wrapText="1"/>
    </xf>
    <xf numFmtId="0" fontId="0" fillId="11" borderId="0" xfId="0" applyFill="1" applyAlignment="1">
      <alignment horizontal="center"/>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6" borderId="0" xfId="0" applyFill="1" applyAlignment="1">
      <alignment horizontal="center"/>
    </xf>
    <xf numFmtId="0" fontId="0" fillId="0" borderId="0" xfId="0" applyAlignment="1">
      <alignment horizont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8" fillId="0" borderId="1" xfId="0" applyFont="1" applyBorder="1" applyAlignment="1">
      <alignment horizontal="center"/>
    </xf>
    <xf numFmtId="0" fontId="0" fillId="0" borderId="0" xfId="0" applyAlignment="1">
      <alignment horizontal="left" vertical="top" wrapText="1"/>
    </xf>
    <xf numFmtId="0" fontId="0" fillId="0" borderId="0" xfId="0" applyAlignment="1">
      <alignment horizontal="center"/>
    </xf>
    <xf numFmtId="0" fontId="0" fillId="0" borderId="0" xfId="0" applyAlignment="1" applyProtection="1">
      <alignment horizontal="center"/>
      <protection locked="0"/>
    </xf>
    <xf numFmtId="0" fontId="0" fillId="0" borderId="1" xfId="0" applyBorder="1" applyAlignment="1">
      <alignment horizontal="center"/>
    </xf>
    <xf numFmtId="165" fontId="4" fillId="10" borderId="1" xfId="0" applyNumberFormat="1" applyFont="1" applyFill="1" applyBorder="1" applyAlignment="1">
      <alignment horizontal="center"/>
    </xf>
    <xf numFmtId="3" fontId="10" fillId="10" borderId="0" xfId="0" applyNumberFormat="1" applyFont="1" applyFill="1" applyAlignment="1" applyProtection="1">
      <alignment horizontal="center"/>
      <protection locked="0"/>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50" fillId="0" borderId="0" xfId="0" applyFont="1" applyBorder="1" applyAlignment="1">
      <alignment horizontal="center"/>
    </xf>
    <xf numFmtId="0" fontId="50" fillId="0" borderId="0" xfId="0" applyFont="1" applyAlignment="1">
      <alignment horizontal="center"/>
    </xf>
    <xf numFmtId="0" fontId="51" fillId="0" borderId="0" xfId="0" applyFont="1" applyAlignment="1" applyProtection="1">
      <alignment horizontal="center"/>
      <protection locked="0"/>
    </xf>
    <xf numFmtId="0" fontId="50" fillId="0" borderId="0" xfId="0" applyFont="1" applyBorder="1" applyAlignment="1">
      <alignment horizontal="center" vertical="center" wrapText="1"/>
    </xf>
    <xf numFmtId="0" fontId="50" fillId="0" borderId="0" xfId="0" applyFont="1" applyFill="1" applyAlignment="1">
      <alignment horizontal="center"/>
    </xf>
    <xf numFmtId="165" fontId="50" fillId="0" borderId="0" xfId="0" applyNumberFormat="1" applyFont="1" applyAlignment="1">
      <alignment horizontal="center" vertical="center"/>
    </xf>
    <xf numFmtId="0" fontId="50" fillId="0" borderId="0" xfId="0" applyFont="1" applyAlignment="1">
      <alignment horizontal="center" vertical="center"/>
    </xf>
    <xf numFmtId="0" fontId="50" fillId="10" borderId="0" xfId="0" applyFont="1" applyFill="1" applyAlignment="1">
      <alignment horizontal="center"/>
    </xf>
    <xf numFmtId="0" fontId="25" fillId="6" borderId="1" xfId="0" applyFont="1" applyFill="1" applyBorder="1" applyAlignment="1">
      <alignment horizontal="center" wrapText="1"/>
    </xf>
    <xf numFmtId="0" fontId="0" fillId="10" borderId="0" xfId="0" applyFill="1" applyAlignment="1" applyProtection="1">
      <alignment horizontal="center"/>
    </xf>
    <xf numFmtId="0" fontId="10" fillId="10" borderId="0" xfId="0" applyFont="1" applyFill="1" applyAlignment="1" applyProtection="1">
      <alignment horizontal="center" vertical="center" wrapText="1"/>
    </xf>
    <xf numFmtId="0" fontId="25" fillId="6" borderId="1" xfId="0" applyFont="1" applyFill="1" applyBorder="1" applyAlignment="1" applyProtection="1">
      <alignment horizontal="center" vertical="center"/>
      <protection locked="0"/>
    </xf>
    <xf numFmtId="165" fontId="25" fillId="6" borderId="1" xfId="0" applyNumberFormat="1"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protection locked="0"/>
    </xf>
    <xf numFmtId="171" fontId="0" fillId="0" borderId="1" xfId="0" applyNumberFormat="1" applyBorder="1" applyAlignment="1">
      <alignment horizontal="center" wrapText="1"/>
    </xf>
    <xf numFmtId="171" fontId="0" fillId="0" borderId="1" xfId="0" applyNumberFormat="1" applyBorder="1" applyAlignment="1">
      <alignment horizontal="center"/>
    </xf>
    <xf numFmtId="0" fontId="0" fillId="0" borderId="9" xfId="0" applyBorder="1" applyAlignment="1">
      <alignment horizontal="left" vertical="top"/>
    </xf>
    <xf numFmtId="0" fontId="0" fillId="0" borderId="23" xfId="0" applyBorder="1" applyAlignment="1">
      <alignment vertical="top"/>
    </xf>
    <xf numFmtId="0" fontId="0" fillId="0" borderId="24" xfId="0" applyBorder="1" applyAlignment="1">
      <alignment vertical="top"/>
    </xf>
    <xf numFmtId="0" fontId="0" fillId="0" borderId="25" xfId="0" applyBorder="1" applyAlignment="1">
      <alignment vertical="top"/>
    </xf>
    <xf numFmtId="0" fontId="4" fillId="0" borderId="1" xfId="0" applyFont="1" applyBorder="1" applyAlignment="1">
      <alignment horizontal="center"/>
    </xf>
    <xf numFmtId="0" fontId="0" fillId="0" borderId="9" xfId="0" applyBorder="1" applyAlignment="1">
      <alignment horizontal="left" vertical="top"/>
    </xf>
    <xf numFmtId="0" fontId="0" fillId="0" borderId="9" xfId="0" applyBorder="1" applyAlignment="1">
      <alignment horizontal="left" vertical="top" wrapText="1"/>
    </xf>
    <xf numFmtId="0" fontId="16" fillId="0" borderId="1" xfId="0" applyFont="1" applyBorder="1" applyAlignment="1">
      <alignment horizontal="left"/>
    </xf>
    <xf numFmtId="0" fontId="8" fillId="0" borderId="1" xfId="0" applyFont="1" applyBorder="1" applyAlignment="1">
      <alignment horizontal="center"/>
    </xf>
    <xf numFmtId="0" fontId="0" fillId="0" borderId="1" xfId="0" applyBorder="1" applyAlignment="1">
      <alignment horizontal="left" vertical="center" wrapText="1"/>
    </xf>
    <xf numFmtId="9" fontId="4" fillId="0" borderId="4" xfId="0" applyNumberFormat="1"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0" fillId="6" borderId="0" xfId="0" applyFill="1" applyAlignment="1">
      <alignment horizontal="center"/>
    </xf>
    <xf numFmtId="0" fontId="0" fillId="0" borderId="0" xfId="0" applyAlignment="1">
      <alignment horizontal="center"/>
    </xf>
    <xf numFmtId="0" fontId="0" fillId="0" borderId="0" xfId="0" applyFill="1" applyAlignment="1">
      <alignment horizontal="center" vertical="center"/>
    </xf>
    <xf numFmtId="0" fontId="0" fillId="0" borderId="1" xfId="0" applyFont="1" applyBorder="1" applyAlignment="1">
      <alignment horizontal="center" vertical="center" wrapText="1"/>
    </xf>
    <xf numFmtId="0" fontId="0" fillId="6" borderId="0" xfId="0" applyFill="1" applyAlignment="1">
      <alignment horizontal="center" vertical="center" wrapText="1"/>
    </xf>
    <xf numFmtId="0" fontId="0" fillId="0" borderId="1" xfId="0"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vertical="center" wrapText="1"/>
    </xf>
    <xf numFmtId="0" fontId="0" fillId="0" borderId="0" xfId="0" applyBorder="1" applyAlignment="1">
      <alignment horizontal="left"/>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10" borderId="0" xfId="0" applyFont="1" applyFill="1" applyAlignment="1">
      <alignment horizontal="center" vertical="center" wrapText="1"/>
    </xf>
    <xf numFmtId="0" fontId="4" fillId="10" borderId="9" xfId="0" applyFont="1" applyFill="1" applyBorder="1" applyAlignment="1">
      <alignment horizontal="center"/>
    </xf>
    <xf numFmtId="0" fontId="0" fillId="0" borderId="0" xfId="0"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6" borderId="2" xfId="0" applyFont="1" applyFill="1" applyBorder="1" applyAlignment="1" applyProtection="1">
      <alignment horizontal="center"/>
      <protection locked="0"/>
    </xf>
    <xf numFmtId="0" fontId="4" fillId="6" borderId="3" xfId="0" applyFont="1" applyFill="1" applyBorder="1" applyAlignment="1" applyProtection="1">
      <alignment horizontal="center"/>
      <protection locked="0"/>
    </xf>
    <xf numFmtId="0" fontId="4" fillId="10" borderId="2" xfId="0" applyFont="1" applyFill="1" applyBorder="1" applyAlignment="1">
      <alignment horizontal="center"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7"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 xfId="0" applyBorder="1" applyAlignment="1">
      <alignment horizontal="center"/>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4" borderId="0" xfId="0" applyFill="1" applyAlignment="1">
      <alignment horizontal="center" vertical="center" wrapText="1"/>
    </xf>
    <xf numFmtId="0" fontId="0" fillId="5" borderId="0" xfId="0" applyFill="1" applyAlignment="1">
      <alignment horizontal="center" vertical="center"/>
    </xf>
    <xf numFmtId="0" fontId="0" fillId="10" borderId="0" xfId="0" applyFill="1" applyAlignment="1">
      <alignment horizontal="center" vertical="center" wrapText="1"/>
    </xf>
    <xf numFmtId="0" fontId="0" fillId="0" borderId="0" xfId="0" applyAlignment="1">
      <alignment horizontal="left"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12"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16" fillId="0" borderId="1" xfId="0" applyFont="1" applyBorder="1" applyAlignment="1">
      <alignment horizontal="center"/>
    </xf>
    <xf numFmtId="0" fontId="0" fillId="0" borderId="0" xfId="0" applyAlignment="1">
      <alignment horizontal="left"/>
    </xf>
    <xf numFmtId="0" fontId="35" fillId="0" borderId="0" xfId="0" applyFont="1" applyBorder="1" applyAlignment="1">
      <alignment horizontal="right" vertical="center"/>
    </xf>
    <xf numFmtId="0" fontId="35" fillId="0" borderId="7" xfId="0" applyFont="1" applyBorder="1" applyAlignment="1">
      <alignment horizontal="right" vertical="center"/>
    </xf>
    <xf numFmtId="165" fontId="4" fillId="10" borderId="1" xfId="0" applyNumberFormat="1" applyFont="1" applyFill="1" applyBorder="1" applyAlignment="1">
      <alignment horizontal="center"/>
    </xf>
    <xf numFmtId="0" fontId="3" fillId="0" borderId="0" xfId="0" applyFont="1" applyAlignment="1">
      <alignment horizontal="right" vertical="center"/>
    </xf>
    <xf numFmtId="0" fontId="3" fillId="0" borderId="7" xfId="0" applyFont="1" applyBorder="1" applyAlignment="1">
      <alignment horizontal="right" vertical="center"/>
    </xf>
    <xf numFmtId="0" fontId="4" fillId="10" borderId="2" xfId="0" applyFont="1" applyFill="1" applyBorder="1" applyAlignment="1">
      <alignment horizontal="center"/>
    </xf>
    <xf numFmtId="0" fontId="4" fillId="10" borderId="3" xfId="0" applyFont="1" applyFill="1" applyBorder="1" applyAlignment="1">
      <alignment horizontal="center"/>
    </xf>
    <xf numFmtId="0" fontId="4" fillId="0" borderId="0" xfId="0" applyFont="1" applyAlignment="1">
      <alignment horizontal="center"/>
    </xf>
    <xf numFmtId="0" fontId="4" fillId="6" borderId="9" xfId="0" applyFont="1" applyFill="1" applyBorder="1" applyAlignment="1" applyProtection="1">
      <alignment horizontal="center"/>
      <protection locked="0"/>
    </xf>
    <xf numFmtId="0" fontId="4" fillId="0" borderId="2" xfId="0" applyFont="1" applyFill="1" applyBorder="1" applyAlignment="1" applyProtection="1">
      <alignment horizontal="right"/>
    </xf>
    <xf numFmtId="0" fontId="4" fillId="0" borderId="3" xfId="0" applyFont="1" applyFill="1" applyBorder="1" applyAlignment="1" applyProtection="1">
      <alignment horizontal="right"/>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9" xfId="0" applyBorder="1" applyAlignment="1">
      <alignment horizontal="center" vertical="top" wrapText="1"/>
    </xf>
    <xf numFmtId="0" fontId="16" fillId="0" borderId="4" xfId="0" applyFont="1" applyBorder="1" applyAlignment="1">
      <alignment horizontal="left"/>
    </xf>
    <xf numFmtId="0" fontId="18" fillId="15" borderId="9" xfId="0" applyFont="1" applyFill="1" applyBorder="1" applyAlignment="1" applyProtection="1">
      <alignment horizontal="left"/>
    </xf>
    <xf numFmtId="0" fontId="0" fillId="0" borderId="0"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7" xfId="0" applyBorder="1" applyAlignment="1" applyProtection="1">
      <alignment horizontal="center"/>
    </xf>
    <xf numFmtId="0" fontId="4" fillId="0" borderId="5" xfId="0" applyFont="1" applyBorder="1" applyAlignment="1" applyProtection="1">
      <alignment horizontal="center" vertical="top" wrapText="1"/>
    </xf>
    <xf numFmtId="0" fontId="4" fillId="0" borderId="6" xfId="0" applyFont="1" applyBorder="1" applyAlignment="1" applyProtection="1">
      <alignment horizontal="center" vertical="top" wrapText="1"/>
    </xf>
    <xf numFmtId="0" fontId="0" fillId="0" borderId="7" xfId="0" applyBorder="1" applyAlignment="1" applyProtection="1">
      <alignment horizontal="center" vertical="center"/>
    </xf>
    <xf numFmtId="0" fontId="4" fillId="0" borderId="5" xfId="0" applyFont="1" applyBorder="1" applyAlignment="1" applyProtection="1">
      <alignment horizontal="center" vertical="center" wrapText="1"/>
    </xf>
    <xf numFmtId="0" fontId="4" fillId="0" borderId="6" xfId="0" applyFont="1" applyBorder="1" applyAlignment="1" applyProtection="1">
      <alignment horizontal="center" vertical="center" wrapText="1"/>
    </xf>
    <xf numFmtId="0" fontId="14" fillId="0" borderId="0" xfId="0" applyFont="1" applyAlignment="1" applyProtection="1">
      <alignment horizont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center"/>
    </xf>
    <xf numFmtId="0" fontId="0" fillId="0" borderId="0" xfId="0" applyAlignment="1" applyProtection="1">
      <alignment horizontal="center"/>
    </xf>
    <xf numFmtId="0" fontId="0" fillId="0" borderId="8" xfId="0" applyBorder="1" applyAlignment="1" applyProtection="1">
      <alignment horizontal="center"/>
    </xf>
    <xf numFmtId="0" fontId="0" fillId="0" borderId="0" xfId="0" applyBorder="1" applyAlignment="1" applyProtection="1">
      <alignment horizontal="center"/>
    </xf>
    <xf numFmtId="0" fontId="4" fillId="0" borderId="13" xfId="0" applyFont="1" applyBorder="1" applyAlignment="1" applyProtection="1">
      <alignment horizontal="center" vertical="top" wrapText="1"/>
    </xf>
    <xf numFmtId="0" fontId="4" fillId="0" borderId="0" xfId="0" applyFont="1" applyAlignment="1" applyProtection="1">
      <alignment horizontal="center" vertical="top" wrapText="1"/>
    </xf>
    <xf numFmtId="0" fontId="0" fillId="0" borderId="13" xfId="0" applyBorder="1" applyAlignment="1" applyProtection="1">
      <alignment horizontal="center" vertical="top" wrapText="1"/>
    </xf>
    <xf numFmtId="0" fontId="0" fillId="0" borderId="0" xfId="0" applyAlignment="1" applyProtection="1">
      <alignment horizontal="center" vertical="top" wrapText="1"/>
    </xf>
    <xf numFmtId="0" fontId="29" fillId="0" borderId="0" xfId="0" applyFont="1" applyAlignment="1" applyProtection="1">
      <alignment horizontal="center" vertical="top" wrapText="1"/>
    </xf>
    <xf numFmtId="0" fontId="4" fillId="0" borderId="0" xfId="0" applyFont="1" applyBorder="1" applyAlignment="1" applyProtection="1">
      <alignment horizontal="center" vertical="top" wrapText="1"/>
    </xf>
    <xf numFmtId="0" fontId="0" fillId="0" borderId="1" xfId="0" applyBorder="1" applyAlignment="1" applyProtection="1">
      <alignment horizontal="center"/>
    </xf>
    <xf numFmtId="0" fontId="0" fillId="0" borderId="0" xfId="0" applyAlignment="1">
      <alignment horizontal="left" vertical="top" wrapText="1"/>
    </xf>
    <xf numFmtId="0" fontId="4" fillId="17" borderId="9" xfId="0" applyFont="1" applyFill="1" applyBorder="1" applyAlignment="1" applyProtection="1">
      <alignment horizontal="center"/>
      <protection locked="0"/>
    </xf>
    <xf numFmtId="165" fontId="4" fillId="0" borderId="1" xfId="0" applyNumberFormat="1" applyFont="1" applyFill="1" applyBorder="1" applyAlignment="1">
      <alignment horizontal="center"/>
    </xf>
    <xf numFmtId="165" fontId="4" fillId="0" borderId="2" xfId="0" applyNumberFormat="1" applyFont="1" applyFill="1" applyBorder="1" applyAlignment="1">
      <alignment horizontal="center"/>
    </xf>
    <xf numFmtId="0" fontId="4" fillId="0" borderId="2" xfId="0" applyFont="1" applyFill="1" applyBorder="1" applyAlignment="1">
      <alignment horizontal="center"/>
    </xf>
    <xf numFmtId="0" fontId="4" fillId="0" borderId="27" xfId="0" applyFont="1" applyFill="1" applyBorder="1" applyAlignment="1">
      <alignment horizontal="center"/>
    </xf>
    <xf numFmtId="0" fontId="0" fillId="0" borderId="23" xfId="0" applyBorder="1" applyAlignment="1">
      <alignment horizontal="center" vertical="top"/>
    </xf>
    <xf numFmtId="0" fontId="0" fillId="0" borderId="24" xfId="0" applyBorder="1" applyAlignment="1">
      <alignment horizontal="center" vertical="top"/>
    </xf>
    <xf numFmtId="0" fontId="0" fillId="0" borderId="25" xfId="0" applyBorder="1" applyAlignment="1">
      <alignment horizontal="center" vertical="top"/>
    </xf>
  </cellXfs>
  <cellStyles count="5">
    <cellStyle name="Comma" xfId="4" builtinId="3"/>
    <cellStyle name="Normal" xfId="0" builtinId="0"/>
    <cellStyle name="Normal 2" xfId="1"/>
    <cellStyle name="Normal 3" xfId="2"/>
    <cellStyle name="Normal 4" xfId="3"/>
  </cellStyles>
  <dxfs count="0"/>
  <tableStyles count="0" defaultTableStyle="TableStyleMedium2" defaultPivotStyle="PivotStyleLight16"/>
  <colors>
    <mruColors>
      <color rgb="FF00823B"/>
      <color rgb="FFFF7DFF"/>
      <color rgb="FFB3E971"/>
      <color rgb="FFE60000"/>
      <color rgb="FFFF4747"/>
      <color rgb="FFFF7979"/>
      <color rgb="FFFFA3A3"/>
      <color rgb="FFFFC1C1"/>
      <color rgb="FFFF00FF"/>
      <color rgb="FFFFAB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295.30404480109866</c:v>
                </c:pt>
                <c:pt idx="8">
                  <c:v>444.0548992511184</c:v>
                </c:pt>
                <c:pt idx="9">
                  <c:v>641.94574648885691</c:v>
                </c:pt>
                <c:pt idx="10">
                  <c:v>947.72438028959118</c:v>
                </c:pt>
                <c:pt idx="11">
                  <c:v>1291.2024064274724</c:v>
                </c:pt>
                <c:pt idx="12">
                  <c:v>1708.9772769223123</c:v>
                </c:pt>
                <c:pt idx="13">
                  <c:v>2154.5864678570797</c:v>
                </c:pt>
                <c:pt idx="14">
                  <c:v>2686.0417160549705</c:v>
                </c:pt>
                <c:pt idx="15">
                  <c:v>3328.7145125681291</c:v>
                </c:pt>
                <c:pt idx="16">
                  <c:v>4179.9855389682971</c:v>
                </c:pt>
                <c:pt idx="17">
                  <c:v>5293.267343720473</c:v>
                </c:pt>
                <c:pt idx="18">
                  <c:v>377.18376093460051</c:v>
                </c:pt>
                <c:pt idx="19">
                  <c:v>322.6460064347109</c:v>
                </c:pt>
                <c:pt idx="20">
                  <c:v>0</c:v>
                </c:pt>
                <c:pt idx="21">
                  <c:v>0</c:v>
                </c:pt>
                <c:pt idx="22">
                  <c:v>0</c:v>
                </c:pt>
                <c:pt idx="23">
                  <c:v>0</c:v>
                </c:pt>
                <c:pt idx="24">
                  <c:v>0</c:v>
                </c:pt>
              </c:numCache>
            </c:numRef>
          </c:val>
        </c:ser>
        <c:dLbls>
          <c:showLegendKey val="0"/>
          <c:showVal val="0"/>
          <c:showCatName val="0"/>
          <c:showSerName val="0"/>
          <c:showPercent val="0"/>
          <c:showBubbleSize val="0"/>
        </c:dLbls>
        <c:axId val="232248064"/>
        <c:axId val="23224960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232257792"/>
        <c:axId val="232255872"/>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452.92362735867829</c:v>
                </c:pt>
                <c:pt idx="8">
                  <c:v>713.39264021710289</c:v>
                </c:pt>
                <c:pt idx="9">
                  <c:v>1110.8045936095737</c:v>
                </c:pt>
                <c:pt idx="10">
                  <c:v>1674.9196894065412</c:v>
                </c:pt>
                <c:pt idx="11">
                  <c:v>2452.4498287807787</c:v>
                </c:pt>
                <c:pt idx="12">
                  <c:v>3447.3164353810098</c:v>
                </c:pt>
                <c:pt idx="13">
                  <c:v>4732.0953322384485</c:v>
                </c:pt>
                <c:pt idx="14">
                  <c:v>6273.0586853530467</c:v>
                </c:pt>
                <c:pt idx="15">
                  <c:v>8204.7437386185684</c:v>
                </c:pt>
                <c:pt idx="16">
                  <c:v>10381.700433624948</c:v>
                </c:pt>
                <c:pt idx="17">
                  <c:v>12708.797970821079</c:v>
                </c:pt>
                <c:pt idx="18">
                  <c:v>750.07183729033204</c:v>
                </c:pt>
                <c:pt idx="19">
                  <c:v>885.99682272861855</c:v>
                </c:pt>
                <c:pt idx="20">
                  <c:v>918.38648299910312</c:v>
                </c:pt>
                <c:pt idx="21">
                  <c:v>625.16132746302333</c:v>
                </c:pt>
                <c:pt idx="22">
                  <c:v>557.19538900908242</c:v>
                </c:pt>
                <c:pt idx="23">
                  <c:v>506.15301983702579</c:v>
                </c:pt>
                <c:pt idx="24">
                  <c:v>459.49845079557696</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32248064"/>
        <c:axId val="23224960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1.9211418866832297</c:v>
                </c:pt>
                <c:pt idx="8">
                  <c:v>2.5421262399682134</c:v>
                </c:pt>
                <c:pt idx="9">
                  <c:v>3.4912793048926494</c:v>
                </c:pt>
                <c:pt idx="10">
                  <c:v>4.5960715348805854</c:v>
                </c:pt>
                <c:pt idx="11">
                  <c:v>6.4926798782512529</c:v>
                </c:pt>
                <c:pt idx="12">
                  <c:v>8.9650869643731266</c:v>
                </c:pt>
                <c:pt idx="13">
                  <c:v>12.770602339536904</c:v>
                </c:pt>
                <c:pt idx="14">
                  <c:v>17.482269794579789</c:v>
                </c:pt>
                <c:pt idx="15">
                  <c:v>25.907021786597031</c:v>
                </c:pt>
                <c:pt idx="16">
                  <c:v>37.809950683946809</c:v>
                </c:pt>
                <c:pt idx="17">
                  <c:v>49.575727014076882</c:v>
                </c:pt>
                <c:pt idx="18">
                  <c:v>3.7702108613275152</c:v>
                </c:pt>
                <c:pt idx="19">
                  <c:v>6.7893981355199688</c:v>
                </c:pt>
                <c:pt idx="20">
                  <c:v>16.071763452484305</c:v>
                </c:pt>
                <c:pt idx="21">
                  <c:v>11.583871655932491</c:v>
                </c:pt>
                <c:pt idx="22">
                  <c:v>10.637366517446118</c:v>
                </c:pt>
                <c:pt idx="23">
                  <c:v>9.964887578041445</c:v>
                </c:pt>
                <c:pt idx="24">
                  <c:v>9.0463757500379209</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version'!$C$20:$Z$20</c:f>
              <c:numCache>
                <c:formatCode>0%</c:formatCode>
                <c:ptCount val="24"/>
                <c:pt idx="17">
                  <c:v>0.95</c:v>
                </c:pt>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2.1792982143589483E-2</c:v>
                </c:pt>
              </c:numCache>
            </c:numRef>
          </c:val>
          <c:smooth val="0"/>
        </c:ser>
        <c:dLbls>
          <c:showLegendKey val="0"/>
          <c:showVal val="0"/>
          <c:showCatName val="0"/>
          <c:showSerName val="0"/>
          <c:showPercent val="0"/>
          <c:showBubbleSize val="0"/>
        </c:dLbls>
        <c:marker val="1"/>
        <c:smooth val="0"/>
        <c:axId val="232257792"/>
        <c:axId val="232255872"/>
      </c:lineChart>
      <c:dateAx>
        <c:axId val="232248064"/>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32249600"/>
        <c:crosses val="autoZero"/>
        <c:auto val="0"/>
        <c:lblOffset val="100"/>
        <c:baseTimeUnit val="days"/>
        <c:majorUnit val="1"/>
        <c:majorTimeUnit val="months"/>
        <c:minorUnit val="1"/>
        <c:minorTimeUnit val="months"/>
      </c:dateAx>
      <c:valAx>
        <c:axId val="23224960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32248064"/>
        <c:crossesAt val="40544"/>
        <c:crossBetween val="midCat"/>
      </c:valAx>
      <c:valAx>
        <c:axId val="232255872"/>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32257792"/>
        <c:crosses val="max"/>
        <c:crossBetween val="between"/>
      </c:valAx>
      <c:dateAx>
        <c:axId val="232257792"/>
        <c:scaling>
          <c:orientation val="minMax"/>
        </c:scaling>
        <c:delete val="1"/>
        <c:axPos val="b"/>
        <c:numFmt formatCode="[$-409]d\-mmm;@" sourceLinked="1"/>
        <c:majorTickMark val="out"/>
        <c:minorTickMark val="none"/>
        <c:tickLblPos val="none"/>
        <c:crossAx val="232255872"/>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800648806713474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38321664"/>
        <c:axId val="238323200"/>
      </c:lineChart>
      <c:dateAx>
        <c:axId val="238321664"/>
        <c:scaling>
          <c:orientation val="minMax"/>
        </c:scaling>
        <c:delete val="0"/>
        <c:axPos val="b"/>
        <c:numFmt formatCode="[$-409]d\-mmm;@" sourceLinked="1"/>
        <c:majorTickMark val="cross"/>
        <c:minorTickMark val="none"/>
        <c:tickLblPos val="nextTo"/>
        <c:txPr>
          <a:bodyPr/>
          <a:lstStyle/>
          <a:p>
            <a:pPr>
              <a:defRPr b="1"/>
            </a:pPr>
            <a:endParaRPr lang="en-US"/>
          </a:p>
        </c:txPr>
        <c:crossAx val="238323200"/>
        <c:crosses val="autoZero"/>
        <c:auto val="1"/>
        <c:lblOffset val="100"/>
        <c:baseTimeUnit val="days"/>
      </c:dateAx>
      <c:valAx>
        <c:axId val="2383232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8321664"/>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Type'!$L$227:$L$250</c:f>
              <c:numCache>
                <c:formatCode>General</c:formatCode>
                <c:ptCount val="24"/>
                <c:pt idx="0">
                  <c:v>16000</c:v>
                </c:pt>
                <c:pt idx="1">
                  <c:v>16000</c:v>
                </c:pt>
                <c:pt idx="2">
                  <c:v>16000</c:v>
                </c:pt>
                <c:pt idx="3">
                  <c:v>14000</c:v>
                </c:pt>
                <c:pt idx="4">
                  <c:v>14000</c:v>
                </c:pt>
                <c:pt idx="5">
                  <c:v>12000</c:v>
                </c:pt>
                <c:pt idx="6">
                  <c:v>12000</c:v>
                </c:pt>
                <c:pt idx="7">
                  <c:v>16000</c:v>
                </c:pt>
                <c:pt idx="8">
                  <c:v>20000</c:v>
                </c:pt>
                <c:pt idx="9">
                  <c:v>28000</c:v>
                </c:pt>
                <c:pt idx="10">
                  <c:v>16000</c:v>
                </c:pt>
                <c:pt idx="11">
                  <c:v>24000</c:v>
                </c:pt>
                <c:pt idx="12">
                  <c:v>32000</c:v>
                </c:pt>
                <c:pt idx="13">
                  <c:v>42000</c:v>
                </c:pt>
                <c:pt idx="14">
                  <c:v>44000</c:v>
                </c:pt>
                <c:pt idx="15">
                  <c:v>44000</c:v>
                </c:pt>
                <c:pt idx="16">
                  <c:v>38000</c:v>
                </c:pt>
                <c:pt idx="17">
                  <c:v>32000</c:v>
                </c:pt>
                <c:pt idx="18">
                  <c:v>30000</c:v>
                </c:pt>
                <c:pt idx="19">
                  <c:v>24000</c:v>
                </c:pt>
                <c:pt idx="20">
                  <c:v>16000</c:v>
                </c:pt>
                <c:pt idx="21">
                  <c:v>14000</c:v>
                </c:pt>
                <c:pt idx="22">
                  <c:v>14000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Type'!$M$227:$M$249</c:f>
              <c:numCache>
                <c:formatCode>General</c:formatCode>
                <c:ptCount val="23"/>
                <c:pt idx="0">
                  <c:v>0</c:v>
                </c:pt>
                <c:pt idx="1">
                  <c:v>1125</c:v>
                </c:pt>
                <c:pt idx="2">
                  <c:v>2250</c:v>
                </c:pt>
                <c:pt idx="3">
                  <c:v>2250</c:v>
                </c:pt>
                <c:pt idx="4">
                  <c:v>4500</c:v>
                </c:pt>
                <c:pt idx="5">
                  <c:v>9000</c:v>
                </c:pt>
                <c:pt idx="6">
                  <c:v>13500</c:v>
                </c:pt>
                <c:pt idx="7">
                  <c:v>22500</c:v>
                </c:pt>
                <c:pt idx="8">
                  <c:v>31500</c:v>
                </c:pt>
                <c:pt idx="9">
                  <c:v>9000</c:v>
                </c:pt>
                <c:pt idx="10">
                  <c:v>27000</c:v>
                </c:pt>
                <c:pt idx="11">
                  <c:v>27000</c:v>
                </c:pt>
                <c:pt idx="12">
                  <c:v>24750</c:v>
                </c:pt>
                <c:pt idx="13">
                  <c:v>22500</c:v>
                </c:pt>
                <c:pt idx="14">
                  <c:v>20250</c:v>
                </c:pt>
                <c:pt idx="15">
                  <c:v>18000</c:v>
                </c:pt>
                <c:pt idx="16">
                  <c:v>15750</c:v>
                </c:pt>
                <c:pt idx="17">
                  <c:v>18000</c:v>
                </c:pt>
                <c:pt idx="18">
                  <c:v>9000</c:v>
                </c:pt>
                <c:pt idx="19">
                  <c:v>2250</c:v>
                </c:pt>
                <c:pt idx="20">
                  <c:v>0</c:v>
                </c:pt>
                <c:pt idx="21">
                  <c:v>0</c:v>
                </c:pt>
                <c:pt idx="22">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55008768"/>
        <c:axId val="255010304"/>
      </c:lineChart>
      <c:dateAx>
        <c:axId val="255008768"/>
        <c:scaling>
          <c:orientation val="minMax"/>
        </c:scaling>
        <c:delete val="0"/>
        <c:axPos val="b"/>
        <c:numFmt formatCode="[$-409]d\-mmm;@" sourceLinked="1"/>
        <c:majorTickMark val="cross"/>
        <c:minorTickMark val="none"/>
        <c:tickLblPos val="nextTo"/>
        <c:txPr>
          <a:bodyPr/>
          <a:lstStyle/>
          <a:p>
            <a:pPr>
              <a:defRPr b="1"/>
            </a:pPr>
            <a:endParaRPr lang="en-US"/>
          </a:p>
        </c:txPr>
        <c:crossAx val="255010304"/>
        <c:crosses val="autoZero"/>
        <c:auto val="1"/>
        <c:lblOffset val="100"/>
        <c:baseTimeUnit val="days"/>
      </c:dateAx>
      <c:valAx>
        <c:axId val="25501030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55008768"/>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Immigration by Setting</a:t>
            </a:r>
          </a:p>
        </c:rich>
      </c:tx>
      <c:overlay val="0"/>
    </c:title>
    <c:autoTitleDeleted val="0"/>
    <c:plotArea>
      <c:layout/>
      <c:lineChart>
        <c:grouping val="standard"/>
        <c:varyColors val="0"/>
        <c:ser>
          <c:idx val="4"/>
          <c:order val="0"/>
          <c:tx>
            <c:v>Setting 0</c:v>
          </c:tx>
          <c:spPr>
            <a:ln>
              <a:solidFill>
                <a:srgbClr val="00B050"/>
              </a:solidFill>
            </a:ln>
          </c:spPr>
          <c:marker>
            <c:symbol val="circle"/>
            <c:size val="5"/>
            <c:spPr>
              <a:solidFill>
                <a:srgbClr val="00B05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Immigration'!$D$12:$D$35</c:f>
              <c:numCache>
                <c:formatCode>General</c:formatCode>
                <c:ptCount val="24"/>
                <c:pt idx="10">
                  <c:v>0</c:v>
                </c:pt>
                <c:pt idx="11">
                  <c:v>0</c:v>
                </c:pt>
                <c:pt idx="12">
                  <c:v>0</c:v>
                </c:pt>
                <c:pt idx="13">
                  <c:v>0</c:v>
                </c:pt>
                <c:pt idx="14">
                  <c:v>0</c:v>
                </c:pt>
                <c:pt idx="15">
                  <c:v>0</c:v>
                </c:pt>
                <c:pt idx="16">
                  <c:v>0</c:v>
                </c:pt>
                <c:pt idx="17">
                  <c:v>0</c:v>
                </c:pt>
                <c:pt idx="18">
                  <c:v>0</c:v>
                </c:pt>
                <c:pt idx="19">
                  <c:v>0</c:v>
                </c:pt>
                <c:pt idx="20">
                  <c:v>0</c:v>
                </c:pt>
              </c:numCache>
            </c:numRef>
          </c:val>
          <c:smooth val="0"/>
        </c:ser>
        <c:ser>
          <c:idx val="0"/>
          <c:order val="1"/>
          <c:tx>
            <c:v>Setting 1</c:v>
          </c:tx>
          <c:spPr>
            <a:ln>
              <a:solidFill>
                <a:srgbClr val="69D8FF"/>
              </a:solidFill>
            </a:ln>
          </c:spPr>
          <c:marker>
            <c:symbol val="circle"/>
            <c:size val="5"/>
            <c:spPr>
              <a:solidFill>
                <a:srgbClr val="00B0F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Immigration'!$E$12:$E$35</c:f>
              <c:numCache>
                <c:formatCode>General</c:formatCode>
                <c:ptCount val="24"/>
                <c:pt idx="10">
                  <c:v>2</c:v>
                </c:pt>
                <c:pt idx="11">
                  <c:v>3</c:v>
                </c:pt>
                <c:pt idx="12">
                  <c:v>5</c:v>
                </c:pt>
                <c:pt idx="13">
                  <c:v>10</c:v>
                </c:pt>
                <c:pt idx="14">
                  <c:v>15</c:v>
                </c:pt>
                <c:pt idx="15">
                  <c:v>30</c:v>
                </c:pt>
                <c:pt idx="16">
                  <c:v>40</c:v>
                </c:pt>
                <c:pt idx="17">
                  <c:v>50</c:v>
                </c:pt>
                <c:pt idx="18">
                  <c:v>30</c:v>
                </c:pt>
                <c:pt idx="19">
                  <c:v>10</c:v>
                </c:pt>
                <c:pt idx="20">
                  <c:v>5</c:v>
                </c:pt>
              </c:numCache>
            </c:numRef>
          </c:val>
          <c:smooth val="0"/>
        </c:ser>
        <c:ser>
          <c:idx val="1"/>
          <c:order val="2"/>
          <c:tx>
            <c:v>Setting 2</c:v>
          </c:tx>
          <c:spPr>
            <a:ln>
              <a:solidFill>
                <a:srgbClr val="0070C0"/>
              </a:solidFill>
            </a:ln>
          </c:spPr>
          <c:marker>
            <c:symbol val="circle"/>
            <c:size val="5"/>
            <c:spPr>
              <a:solidFill>
                <a:srgbClr val="0070C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Immigration'!$F$12:$F$21</c:f>
              <c:numCache>
                <c:formatCode>General</c:formatCode>
                <c:ptCount val="10"/>
              </c:numCache>
            </c:numRef>
          </c:val>
          <c:smooth val="0"/>
        </c:ser>
        <c:ser>
          <c:idx val="2"/>
          <c:order val="3"/>
          <c:tx>
            <c:v>Setting 3</c:v>
          </c:tx>
          <c:spPr>
            <a:ln>
              <a:solidFill>
                <a:srgbClr val="7030A0"/>
              </a:solidFill>
            </a:ln>
          </c:spPr>
          <c:marker>
            <c:symbol val="circle"/>
            <c:size val="5"/>
            <c:spPr>
              <a:solidFill>
                <a:srgbClr val="7030A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Immigration'!$G$12:$G$35</c:f>
              <c:numCache>
                <c:formatCode>General</c:formatCode>
                <c:ptCount val="24"/>
                <c:pt idx="10">
                  <c:v>10</c:v>
                </c:pt>
                <c:pt idx="11">
                  <c:v>10</c:v>
                </c:pt>
                <c:pt idx="12">
                  <c:v>21</c:v>
                </c:pt>
                <c:pt idx="13">
                  <c:v>45</c:v>
                </c:pt>
                <c:pt idx="14" formatCode="0">
                  <c:v>130</c:v>
                </c:pt>
                <c:pt idx="15" formatCode="0">
                  <c:v>175</c:v>
                </c:pt>
                <c:pt idx="16" formatCode="0">
                  <c:v>210</c:v>
                </c:pt>
                <c:pt idx="17" formatCode="0">
                  <c:v>180</c:v>
                </c:pt>
                <c:pt idx="18" formatCode="0">
                  <c:v>130</c:v>
                </c:pt>
                <c:pt idx="19" formatCode="0">
                  <c:v>75</c:v>
                </c:pt>
                <c:pt idx="20" formatCode="0">
                  <c:v>14</c:v>
                </c:pt>
              </c:numCache>
            </c:numRef>
          </c:val>
          <c:smooth val="0"/>
        </c:ser>
        <c:ser>
          <c:idx val="3"/>
          <c:order val="4"/>
          <c:tx>
            <c:v>Setting 4</c:v>
          </c:tx>
          <c:spPr>
            <a:ln>
              <a:solidFill>
                <a:srgbClr val="FF0000"/>
              </a:solidFill>
            </a:ln>
          </c:spPr>
          <c:marker>
            <c:symbol val="circle"/>
            <c:size val="5"/>
            <c:spPr>
              <a:solidFill>
                <a:srgbClr val="FF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Immigration'!$H$12:$H$36</c:f>
              <c:numCache>
                <c:formatCode>General</c:formatCode>
                <c:ptCount val="25"/>
                <c:pt idx="10">
                  <c:v>20</c:v>
                </c:pt>
                <c:pt idx="11">
                  <c:v>30</c:v>
                </c:pt>
                <c:pt idx="12">
                  <c:v>45</c:v>
                </c:pt>
                <c:pt idx="13">
                  <c:v>75</c:v>
                </c:pt>
                <c:pt idx="14">
                  <c:v>200</c:v>
                </c:pt>
                <c:pt idx="15">
                  <c:v>400</c:v>
                </c:pt>
                <c:pt idx="16">
                  <c:v>500</c:v>
                </c:pt>
                <c:pt idx="17">
                  <c:v>400</c:v>
                </c:pt>
                <c:pt idx="18">
                  <c:v>200</c:v>
                </c:pt>
                <c:pt idx="19">
                  <c:v>100</c:v>
                </c:pt>
                <c:pt idx="20">
                  <c:v>30</c:v>
                </c:pt>
                <c:pt idx="24">
                  <c:v>2000</c:v>
                </c:pt>
              </c:numCache>
            </c:numRef>
          </c:val>
          <c:smooth val="0"/>
        </c:ser>
        <c:ser>
          <c:idx val="5"/>
          <c:order val="5"/>
          <c:tx>
            <c:v>Settling X</c:v>
          </c:tx>
          <c:marker>
            <c:symbol val="circle"/>
            <c:size val="5"/>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Immigration'!$I$12:$I$34</c:f>
              <c:numCache>
                <c:formatCode>General</c:formatCode>
                <c:ptCount val="23"/>
                <c:pt idx="10">
                  <c:v>10</c:v>
                </c:pt>
                <c:pt idx="11">
                  <c:v>20</c:v>
                </c:pt>
                <c:pt idx="12">
                  <c:v>40</c:v>
                </c:pt>
                <c:pt idx="14">
                  <c:v>10</c:v>
                </c:pt>
              </c:numCache>
            </c:numRef>
          </c:val>
          <c:smooth val="0"/>
        </c:ser>
        <c:dLbls>
          <c:showLegendKey val="0"/>
          <c:showVal val="0"/>
          <c:showCatName val="0"/>
          <c:showSerName val="0"/>
          <c:showPercent val="0"/>
          <c:showBubbleSize val="0"/>
        </c:dLbls>
        <c:marker val="1"/>
        <c:smooth val="0"/>
        <c:axId val="254806272"/>
        <c:axId val="254807424"/>
      </c:lineChart>
      <c:dateAx>
        <c:axId val="254806272"/>
        <c:scaling>
          <c:orientation val="minMax"/>
        </c:scaling>
        <c:delete val="0"/>
        <c:axPos val="b"/>
        <c:numFmt formatCode="[$-409]d\-mmm;@" sourceLinked="1"/>
        <c:majorTickMark val="out"/>
        <c:minorTickMark val="none"/>
        <c:tickLblPos val="nextTo"/>
        <c:crossAx val="254807424"/>
        <c:crosses val="autoZero"/>
        <c:auto val="1"/>
        <c:lblOffset val="100"/>
        <c:baseTimeUnit val="days"/>
      </c:dateAx>
      <c:valAx>
        <c:axId val="254807424"/>
        <c:scaling>
          <c:orientation val="minMax"/>
        </c:scaling>
        <c:delete val="0"/>
        <c:axPos val="l"/>
        <c:majorGridlines/>
        <c:title>
          <c:tx>
            <c:rich>
              <a:bodyPr rot="-5400000" vert="horz"/>
              <a:lstStyle/>
              <a:p>
                <a:pPr>
                  <a:defRPr/>
                </a:pPr>
                <a:r>
                  <a:rPr lang="en-US"/>
                  <a:t>Mite Immigration per 15-day Interval</a:t>
                </a:r>
              </a:p>
            </c:rich>
          </c:tx>
          <c:overlay val="0"/>
        </c:title>
        <c:numFmt formatCode="General" sourceLinked="1"/>
        <c:majorTickMark val="out"/>
        <c:minorTickMark val="none"/>
        <c:tickLblPos val="nextTo"/>
        <c:crossAx val="254806272"/>
        <c:crosses val="autoZero"/>
        <c:crossBetween val="between"/>
      </c:valAx>
    </c:plotArea>
    <c:legend>
      <c:legendPos val="r"/>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Selected mite immigration</a:t>
            </a:r>
          </a:p>
        </c:rich>
      </c:tx>
      <c:layout/>
      <c:overlay val="0"/>
    </c:title>
    <c:autoTitleDeleted val="0"/>
    <c:plotArea>
      <c:layout/>
      <c:lineChart>
        <c:grouping val="standard"/>
        <c:varyColors val="0"/>
        <c:ser>
          <c:idx val="0"/>
          <c:order val="0"/>
          <c:marker>
            <c:symbol val="circle"/>
            <c:size val="7"/>
            <c:spPr>
              <a:solidFill>
                <a:srgbClr val="C00000"/>
              </a:solidFill>
              <a:ln>
                <a:noFill/>
              </a:ln>
            </c:spPr>
          </c:marker>
          <c:cat>
            <c:numRef>
              <c:f>'Mite Immigration'!$B$12:$B$35</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'Mite Immigration'!$C$12:$C$35</c:f>
              <c:numCache>
                <c:formatCode>General</c:formatCode>
                <c:ptCount val="24"/>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numCache>
            </c:numRef>
          </c:val>
          <c:smooth val="0"/>
        </c:ser>
        <c:dLbls>
          <c:showLegendKey val="0"/>
          <c:showVal val="0"/>
          <c:showCatName val="0"/>
          <c:showSerName val="0"/>
          <c:showPercent val="0"/>
          <c:showBubbleSize val="0"/>
        </c:dLbls>
        <c:marker val="1"/>
        <c:smooth val="0"/>
        <c:axId val="254850560"/>
        <c:axId val="254852480"/>
      </c:lineChart>
      <c:dateAx>
        <c:axId val="254850560"/>
        <c:scaling>
          <c:orientation val="minMax"/>
        </c:scaling>
        <c:delete val="0"/>
        <c:axPos val="b"/>
        <c:numFmt formatCode="[$-409]d\-mmm;@" sourceLinked="1"/>
        <c:majorTickMark val="out"/>
        <c:minorTickMark val="none"/>
        <c:tickLblPos val="nextTo"/>
        <c:crossAx val="254852480"/>
        <c:crosses val="autoZero"/>
        <c:auto val="1"/>
        <c:lblOffset val="100"/>
        <c:baseTimeUnit val="days"/>
      </c:dateAx>
      <c:valAx>
        <c:axId val="254852480"/>
        <c:scaling>
          <c:orientation val="minMax"/>
          <c:max val="600"/>
        </c:scaling>
        <c:delete val="0"/>
        <c:axPos val="l"/>
        <c:majorGridlines/>
        <c:title>
          <c:tx>
            <c:rich>
              <a:bodyPr rot="-5400000" vert="horz"/>
              <a:lstStyle/>
              <a:p>
                <a:pPr>
                  <a:defRPr/>
                </a:pPr>
                <a:r>
                  <a:rPr lang="en-US"/>
                  <a:t>Immigrated mites per time period</a:t>
                </a:r>
              </a:p>
            </c:rich>
          </c:tx>
          <c:layout/>
          <c:overlay val="0"/>
        </c:title>
        <c:numFmt formatCode="General" sourceLinked="1"/>
        <c:majorTickMark val="out"/>
        <c:minorTickMark val="none"/>
        <c:tickLblPos val="nextTo"/>
        <c:crossAx val="254850560"/>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 values of the</a:t>
            </a:r>
            <a:r>
              <a:rPr lang="en-US" baseline="0"/>
              <a:t> varroa population and the bee population per time interval</a:t>
            </a:r>
            <a:endParaRPr lang="en-US"/>
          </a:p>
        </c:rich>
      </c:tx>
      <c:layout/>
      <c:overlay val="0"/>
    </c:title>
    <c:autoTitleDeleted val="0"/>
    <c:plotArea>
      <c:layout>
        <c:manualLayout>
          <c:layoutTarget val="inner"/>
          <c:xMode val="edge"/>
          <c:yMode val="edge"/>
          <c:x val="0.12901539606399778"/>
          <c:y val="0.20043608201583815"/>
          <c:w val="0.78720609228744209"/>
          <c:h val="0.68850843966162567"/>
        </c:manualLayout>
      </c:layout>
      <c:lineChart>
        <c:grouping val="standard"/>
        <c:varyColors val="0"/>
        <c:ser>
          <c:idx val="0"/>
          <c:order val="0"/>
          <c:tx>
            <c:strRef>
              <c:f>'r values '!$C$29</c:f>
              <c:strCache>
                <c:ptCount val="1"/>
                <c:pt idx="0">
                  <c:v>r value of varroa</c:v>
                </c:pt>
              </c:strCache>
            </c:strRef>
          </c:tx>
          <c:spPr>
            <a:ln>
              <a:solidFill>
                <a:schemeClr val="tx1"/>
              </a:solidFill>
            </a:ln>
          </c:spPr>
          <c:marker>
            <c:symbol val="circle"/>
            <c:size val="5"/>
            <c:spPr>
              <a:solidFill>
                <a:schemeClr val="tx1"/>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'!$C$30:$C$55</c:f>
              <c:numCache>
                <c:formatCode>#,##0.000</c:formatCode>
                <c:ptCount val="26"/>
                <c:pt idx="0">
                  <c:v>-5.0125418235442863E-3</c:v>
                </c:pt>
                <c:pt idx="1">
                  <c:v>2.0823662100919679E-2</c:v>
                </c:pt>
                <c:pt idx="2">
                  <c:v>2.2065264002602884E-2</c:v>
                </c:pt>
                <c:pt idx="3">
                  <c:v>2.7424563300131304E-2</c:v>
                </c:pt>
                <c:pt idx="4">
                  <c:v>2.8476720762450163E-2</c:v>
                </c:pt>
                <c:pt idx="5">
                  <c:v>3.6402394343779496E-2</c:v>
                </c:pt>
                <c:pt idx="6">
                  <c:v>4.3981239026025083E-2</c:v>
                </c:pt>
                <c:pt idx="7">
                  <c:v>5.0137487941188122E-2</c:v>
                </c:pt>
                <c:pt idx="8">
                  <c:v>4.7744972558208192E-2</c:v>
                </c:pt>
                <c:pt idx="9">
                  <c:v>4.4133181086709203E-2</c:v>
                </c:pt>
                <c:pt idx="10">
                  <c:v>4.1151506862125681E-2</c:v>
                </c:pt>
                <c:pt idx="11">
                  <c:v>3.8417783535677111E-2</c:v>
                </c:pt>
                <c:pt idx="12">
                  <c:v>3.6550485105509289E-2</c:v>
                </c:pt>
                <c:pt idx="13">
                  <c:v>3.4288038596705817E-2</c:v>
                </c:pt>
                <c:pt idx="14">
                  <c:v>3.330132793971731E-2</c:v>
                </c:pt>
                <c:pt idx="15">
                  <c:v>3.3393360995062071E-2</c:v>
                </c:pt>
                <c:pt idx="16">
                  <c:v>3.1720707594262161E-2</c:v>
                </c:pt>
                <c:pt idx="17">
                  <c:v>3.4619745378949136E-2</c:v>
                </c:pt>
                <c:pt idx="18">
                  <c:v>2.7959798763203321E-2</c:v>
                </c:pt>
                <c:pt idx="19">
                  <c:v>2.2112452351758748E-2</c:v>
                </c:pt>
                <c:pt idx="20">
                  <c:v>-5.0125418235442863E-3</c:v>
                </c:pt>
                <c:pt idx="21">
                  <c:v>-5.0125418235442863E-3</c:v>
                </c:pt>
                <c:pt idx="22">
                  <c:v>-5.0125418235442863E-3</c:v>
                </c:pt>
                <c:pt idx="23">
                  <c:v>-5.0125418235442863E-3</c:v>
                </c:pt>
                <c:pt idx="24">
                  <c:v>-5.0125418235442863E-3</c:v>
                </c:pt>
              </c:numCache>
            </c:numRef>
          </c:val>
          <c:smooth val="0"/>
        </c:ser>
        <c:ser>
          <c:idx val="1"/>
          <c:order val="1"/>
          <c:tx>
            <c:strRef>
              <c:f>'r values '!$D$29</c:f>
              <c:strCache>
                <c:ptCount val="1"/>
                <c:pt idx="0">
                  <c:v>r value of adult bees</c:v>
                </c:pt>
              </c:strCache>
            </c:strRef>
          </c:tx>
          <c:spPr>
            <a:ln>
              <a:solidFill>
                <a:srgbClr val="FFC000"/>
              </a:solidFill>
            </a:ln>
          </c:spPr>
          <c:marker>
            <c:symbol val="circle"/>
            <c:size val="5"/>
            <c:spPr>
              <a:solidFill>
                <a:srgbClr val="FFC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'!$D$31:$D$55</c:f>
              <c:numCache>
                <c:formatCode>#,##0.000</c:formatCode>
                <c:ptCount val="25"/>
                <c:pt idx="0">
                  <c:v>0</c:v>
                </c:pt>
                <c:pt idx="1">
                  <c:v>0</c:v>
                </c:pt>
                <c:pt idx="2">
                  <c:v>-9.5379566160373307E-3</c:v>
                </c:pt>
                <c:pt idx="3">
                  <c:v>0</c:v>
                </c:pt>
                <c:pt idx="4">
                  <c:v>-1.1010762844804168E-2</c:v>
                </c:pt>
                <c:pt idx="5">
                  <c:v>0</c:v>
                </c:pt>
                <c:pt idx="6">
                  <c:v>2.054871946084149E-2</c:v>
                </c:pt>
                <c:pt idx="7">
                  <c:v>1.9903358194908412E-2</c:v>
                </c:pt>
                <c:pt idx="8">
                  <c:v>2.2153923450274247E-2</c:v>
                </c:pt>
                <c:pt idx="9">
                  <c:v>1.3905222239072373E-2</c:v>
                </c:pt>
                <c:pt idx="10">
                  <c:v>1.0471676727991102E-2</c:v>
                </c:pt>
                <c:pt idx="11">
                  <c:v>5.4382110618518562E-3</c:v>
                </c:pt>
                <c:pt idx="12">
                  <c:v>2.9158567514467998E-3</c:v>
                </c:pt>
                <c:pt idx="13">
                  <c:v>0</c:v>
                </c:pt>
                <c:pt idx="14">
                  <c:v>-9.1309551078489204E-3</c:v>
                </c:pt>
                <c:pt idx="15">
                  <c:v>-8.6237337759926692E-3</c:v>
                </c:pt>
                <c:pt idx="16">
                  <c:v>-1.2275018351904235E-2</c:v>
                </c:pt>
                <c:pt idx="17">
                  <c:v>-4.0336575710981986E-3</c:v>
                </c:pt>
                <c:pt idx="18">
                  <c:v>-1.5938825093872122E-2</c:v>
                </c:pt>
                <c:pt idx="19">
                  <c:v>-1.6922474850104757E-2</c:v>
                </c:pt>
                <c:pt idx="20">
                  <c:v>-4.0827438457106168E-3</c:v>
                </c:pt>
                <c:pt idx="21">
                  <c:v>-1.8658101968550725E-3</c:v>
                </c:pt>
                <c:pt idx="22">
                  <c:v>-2.197975619053833E-3</c:v>
                </c:pt>
                <c:pt idx="23">
                  <c:v>0</c:v>
                </c:pt>
              </c:numCache>
            </c:numRef>
          </c:val>
          <c:smooth val="0"/>
        </c:ser>
        <c:dLbls>
          <c:showLegendKey val="0"/>
          <c:showVal val="0"/>
          <c:showCatName val="0"/>
          <c:showSerName val="0"/>
          <c:showPercent val="0"/>
          <c:showBubbleSize val="0"/>
        </c:dLbls>
        <c:marker val="1"/>
        <c:smooth val="0"/>
        <c:axId val="289638656"/>
        <c:axId val="334238080"/>
      </c:lineChart>
      <c:lineChart>
        <c:grouping val="standard"/>
        <c:varyColors val="0"/>
        <c:ser>
          <c:idx val="2"/>
          <c:order val="2"/>
          <c:tx>
            <c:v>Mite population</c:v>
          </c:tx>
          <c:spPr>
            <a:ln>
              <a:solidFill>
                <a:srgbClr val="FF0000"/>
              </a:solidFill>
            </a:ln>
          </c:spPr>
          <c:marker>
            <c:symbol val="circle"/>
            <c:size val="5"/>
            <c:spPr>
              <a:solidFill>
                <a:srgbClr val="FF0000"/>
              </a:solidFill>
              <a:ln>
                <a:noFill/>
              </a:ln>
            </c:spPr>
          </c:marker>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'!$E$30:$E$54</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452.92362735867829</c:v>
                </c:pt>
                <c:pt idx="8">
                  <c:v>713.39264021710289</c:v>
                </c:pt>
                <c:pt idx="9">
                  <c:v>1110.8045936095737</c:v>
                </c:pt>
                <c:pt idx="10">
                  <c:v>1674.9196894065412</c:v>
                </c:pt>
                <c:pt idx="11">
                  <c:v>2452.4498287807787</c:v>
                </c:pt>
                <c:pt idx="12">
                  <c:v>3447.3164353810098</c:v>
                </c:pt>
                <c:pt idx="13">
                  <c:v>4732.0953322384485</c:v>
                </c:pt>
                <c:pt idx="14">
                  <c:v>6273.0586853530467</c:v>
                </c:pt>
                <c:pt idx="15">
                  <c:v>8204.7437386185684</c:v>
                </c:pt>
                <c:pt idx="16">
                  <c:v>10381.700433624948</c:v>
                </c:pt>
                <c:pt idx="17">
                  <c:v>12708.797970821079</c:v>
                </c:pt>
                <c:pt idx="18">
                  <c:v>750.07183729033204</c:v>
                </c:pt>
                <c:pt idx="19">
                  <c:v>885.99682272861855</c:v>
                </c:pt>
                <c:pt idx="20">
                  <c:v>918.38648299910312</c:v>
                </c:pt>
                <c:pt idx="21">
                  <c:v>625.16132746302333</c:v>
                </c:pt>
                <c:pt idx="22">
                  <c:v>557.19538900908242</c:v>
                </c:pt>
                <c:pt idx="23">
                  <c:v>506.15301983702579</c:v>
                </c:pt>
                <c:pt idx="24">
                  <c:v>459.49845079557696</c:v>
                </c:pt>
              </c:numCache>
            </c:numRef>
          </c:val>
          <c:smooth val="0"/>
        </c:ser>
        <c:dLbls>
          <c:showLegendKey val="0"/>
          <c:showVal val="0"/>
          <c:showCatName val="0"/>
          <c:showSerName val="0"/>
          <c:showPercent val="0"/>
          <c:showBubbleSize val="0"/>
        </c:dLbls>
        <c:marker val="1"/>
        <c:smooth val="0"/>
        <c:axId val="376547200"/>
        <c:axId val="289570176"/>
      </c:lineChart>
      <c:dateAx>
        <c:axId val="289638656"/>
        <c:scaling>
          <c:orientation val="minMax"/>
        </c:scaling>
        <c:delete val="0"/>
        <c:axPos val="b"/>
        <c:numFmt formatCode="[$-409]d\-mmm;@" sourceLinked="1"/>
        <c:majorTickMark val="out"/>
        <c:minorTickMark val="none"/>
        <c:tickLblPos val="low"/>
        <c:txPr>
          <a:bodyPr rot="-2700000"/>
          <a:lstStyle/>
          <a:p>
            <a:pPr>
              <a:defRPr/>
            </a:pPr>
            <a:endParaRPr lang="en-US"/>
          </a:p>
        </c:txPr>
        <c:crossAx val="334238080"/>
        <c:crossesAt val="0"/>
        <c:auto val="1"/>
        <c:lblOffset val="100"/>
        <c:baseTimeUnit val="days"/>
      </c:dateAx>
      <c:valAx>
        <c:axId val="334238080"/>
        <c:scaling>
          <c:orientation val="minMax"/>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layout/>
          <c:overlay val="0"/>
        </c:title>
        <c:numFmt formatCode="0%" sourceLinked="0"/>
        <c:majorTickMark val="out"/>
        <c:minorTickMark val="none"/>
        <c:tickLblPos val="nextTo"/>
        <c:crossAx val="289638656"/>
        <c:crosses val="autoZero"/>
        <c:crossBetween val="midCat"/>
      </c:valAx>
      <c:valAx>
        <c:axId val="289570176"/>
        <c:scaling>
          <c:orientation val="minMax"/>
        </c:scaling>
        <c:delete val="0"/>
        <c:axPos val="r"/>
        <c:numFmt formatCode="0" sourceLinked="1"/>
        <c:majorTickMark val="out"/>
        <c:minorTickMark val="none"/>
        <c:tickLblPos val="nextTo"/>
        <c:crossAx val="376547200"/>
        <c:crosses val="max"/>
        <c:crossBetween val="between"/>
      </c:valAx>
      <c:dateAx>
        <c:axId val="376547200"/>
        <c:scaling>
          <c:orientation val="minMax"/>
        </c:scaling>
        <c:delete val="1"/>
        <c:axPos val="b"/>
        <c:numFmt formatCode="[$-409]d\-mmm;@" sourceLinked="1"/>
        <c:majorTickMark val="out"/>
        <c:minorTickMark val="none"/>
        <c:tickLblPos val="nextTo"/>
        <c:crossAx val="289570176"/>
        <c:auto val="1"/>
        <c:lblOffset val="100"/>
        <c:baseTimeUnit val="days"/>
        <c:majorUnit val="1"/>
        <c:minorUnit val="1"/>
      </c:dateAx>
    </c:plotArea>
    <c:legend>
      <c:legendPos val="r"/>
      <c:layout>
        <c:manualLayout>
          <c:xMode val="edge"/>
          <c:yMode val="edge"/>
          <c:x val="0.3678582061205844"/>
          <c:y val="0.19793238139728608"/>
          <c:w val="0.286592596091719"/>
          <c:h val="0.13123019587871368"/>
        </c:manualLayout>
      </c:layout>
      <c:overlay val="0"/>
      <c:spPr>
        <a:solidFill>
          <a:schemeClr val="bg1"/>
        </a:solid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1"/>
          <c:order val="0"/>
          <c:tx>
            <c:v>Varroa rate of increase</c:v>
          </c:tx>
          <c:spPr>
            <a:ln>
              <a:solidFill>
                <a:srgbClr val="FF0000"/>
              </a:solidFill>
            </a:ln>
          </c:spPr>
          <c:marker>
            <c:symbol val="circle"/>
            <c:size val="6"/>
            <c:spPr>
              <a:solidFill>
                <a:srgbClr val="FF0000"/>
              </a:solidFill>
              <a:ln>
                <a:noFill/>
              </a:ln>
            </c:spPr>
          </c:marker>
          <c:dLbls>
            <c:delete val="1"/>
          </c:dLbls>
          <c:cat>
            <c:numRef>
              <c:f>'r values '!$B$30:$B$54</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version'!$DC$4:$DC$28</c:f>
              <c:numCache>
                <c:formatCode>0.000</c:formatCode>
                <c:ptCount val="25"/>
                <c:pt idx="0">
                  <c:v>-5.0125418235442863E-3</c:v>
                </c:pt>
                <c:pt idx="1">
                  <c:v>2.0823662100919679E-2</c:v>
                </c:pt>
                <c:pt idx="2">
                  <c:v>2.2065264002602884E-2</c:v>
                </c:pt>
                <c:pt idx="3">
                  <c:v>2.7424563300131304E-2</c:v>
                </c:pt>
                <c:pt idx="4">
                  <c:v>2.8476720762450163E-2</c:v>
                </c:pt>
                <c:pt idx="5">
                  <c:v>3.6402394343779496E-2</c:v>
                </c:pt>
                <c:pt idx="6">
                  <c:v>4.3981239026025083E-2</c:v>
                </c:pt>
                <c:pt idx="7">
                  <c:v>5.0137487941188122E-2</c:v>
                </c:pt>
                <c:pt idx="8">
                  <c:v>4.7744972558208192E-2</c:v>
                </c:pt>
                <c:pt idx="9">
                  <c:v>4.4133181086709203E-2</c:v>
                </c:pt>
                <c:pt idx="10">
                  <c:v>4.1151506862125681E-2</c:v>
                </c:pt>
                <c:pt idx="11">
                  <c:v>3.8417783535677111E-2</c:v>
                </c:pt>
                <c:pt idx="12">
                  <c:v>3.6550485105509289E-2</c:v>
                </c:pt>
                <c:pt idx="13">
                  <c:v>3.4288038596705817E-2</c:v>
                </c:pt>
                <c:pt idx="14">
                  <c:v>3.330132793971731E-2</c:v>
                </c:pt>
                <c:pt idx="15">
                  <c:v>3.3393360995062071E-2</c:v>
                </c:pt>
                <c:pt idx="16">
                  <c:v>3.1720707594262161E-2</c:v>
                </c:pt>
                <c:pt idx="17">
                  <c:v>3.4619745378949136E-2</c:v>
                </c:pt>
                <c:pt idx="18">
                  <c:v>2.7959798763203321E-2</c:v>
                </c:pt>
                <c:pt idx="19">
                  <c:v>2.2112452351758748E-2</c:v>
                </c:pt>
                <c:pt idx="20">
                  <c:v>-5.0125418235442863E-3</c:v>
                </c:pt>
                <c:pt idx="21">
                  <c:v>-5.0125418235442863E-3</c:v>
                </c:pt>
                <c:pt idx="22">
                  <c:v>-5.0125418235442863E-3</c:v>
                </c:pt>
                <c:pt idx="23">
                  <c:v>-5.0125418235442863E-3</c:v>
                </c:pt>
                <c:pt idx="24">
                  <c:v>-5.0125418235442863E-3</c:v>
                </c:pt>
              </c:numCache>
            </c:numRef>
          </c:val>
          <c:smooth val="0"/>
        </c:ser>
        <c:dLbls>
          <c:showLegendKey val="0"/>
          <c:showVal val="1"/>
          <c:showCatName val="0"/>
          <c:showSerName val="0"/>
          <c:showPercent val="0"/>
          <c:showBubbleSize val="0"/>
        </c:dLbls>
        <c:marker val="1"/>
        <c:smooth val="0"/>
        <c:axId val="335757312"/>
        <c:axId val="335759232"/>
      </c:lineChart>
      <c:lineChart>
        <c:grouping val="standard"/>
        <c:varyColors val="0"/>
        <c:ser>
          <c:idx val="0"/>
          <c:order val="1"/>
          <c:tx>
            <c:strRef>
              <c:f>'r values '!$H$29</c:f>
              <c:strCache>
                <c:ptCount val="1"/>
                <c:pt idx="0">
                  <c:v>Mite pop change independent of treatment</c:v>
                </c:pt>
              </c:strCache>
            </c:strRef>
          </c:tx>
          <c:spPr>
            <a:ln>
              <a:solidFill>
                <a:schemeClr val="tx1"/>
              </a:solidFill>
            </a:ln>
          </c:spPr>
          <c:marker>
            <c:symbol val="circle"/>
            <c:size val="5"/>
            <c:spPr>
              <a:solidFill>
                <a:schemeClr val="tx1"/>
              </a:solidFill>
              <a:ln>
                <a:noFill/>
              </a:ln>
            </c:spPr>
          </c:marker>
          <c:dLbls>
            <c:delete val="1"/>
          </c:dLbls>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 values '!$H$30:$H$54</c:f>
              <c:numCache>
                <c:formatCode>#,##0</c:formatCode>
                <c:ptCount val="25"/>
                <c:pt idx="0">
                  <c:v>0</c:v>
                </c:pt>
                <c:pt idx="1">
                  <c:v>-7.3399166893701562</c:v>
                </c:pt>
                <c:pt idx="2">
                  <c:v>7.6610001511959069</c:v>
                </c:pt>
                <c:pt idx="3">
                  <c:v>24.09957417495562</c:v>
                </c:pt>
                <c:pt idx="4">
                  <c:v>34.254294628018627</c:v>
                </c:pt>
                <c:pt idx="5">
                  <c:v>48.643789208983009</c:v>
                </c:pt>
                <c:pt idx="6">
                  <c:v>83.497823628667049</c:v>
                </c:pt>
                <c:pt idx="7">
                  <c:v>162.10706225622823</c:v>
                </c:pt>
                <c:pt idx="8">
                  <c:v>260.46901285842461</c:v>
                </c:pt>
                <c:pt idx="9">
                  <c:v>397.41195339247076</c:v>
                </c:pt>
                <c:pt idx="10">
                  <c:v>564.11509579696758</c:v>
                </c:pt>
                <c:pt idx="11">
                  <c:v>777.53013937423748</c:v>
                </c:pt>
                <c:pt idx="12">
                  <c:v>994.86660660023108</c:v>
                </c:pt>
                <c:pt idx="13">
                  <c:v>1284.7788968574387</c:v>
                </c:pt>
                <c:pt idx="14">
                  <c:v>1540.9633531145982</c:v>
                </c:pt>
                <c:pt idx="15">
                  <c:v>1931.6850532655217</c:v>
                </c:pt>
                <c:pt idx="16">
                  <c:v>2176.95669500638</c:v>
                </c:pt>
                <c:pt idx="17">
                  <c:v>2327.0975371961304</c:v>
                </c:pt>
                <c:pt idx="18">
                  <c:v>2292.6387749855512</c:v>
                </c:pt>
                <c:pt idx="19">
                  <c:v>135.92498543828651</c:v>
                </c:pt>
                <c:pt idx="20">
                  <c:v>32.389660270484569</c:v>
                </c:pt>
                <c:pt idx="21">
                  <c:v>-293.2251555360798</c:v>
                </c:pt>
                <c:pt idx="22">
                  <c:v>-67.965938453940907</c:v>
                </c:pt>
                <c:pt idx="23">
                  <c:v>-51.042369172056624</c:v>
                </c:pt>
                <c:pt idx="24">
                  <c:v>-46.654569041448838</c:v>
                </c:pt>
              </c:numCache>
            </c:numRef>
          </c:val>
          <c:smooth val="0"/>
        </c:ser>
        <c:ser>
          <c:idx val="2"/>
          <c:order val="2"/>
          <c:tx>
            <c:v>Treatment</c:v>
          </c:tx>
          <c:marker>
            <c:symbol val="triangle"/>
            <c:size val="8"/>
            <c:spPr>
              <a:solidFill>
                <a:srgbClr val="FF0000"/>
              </a:solidFill>
              <a:ln>
                <a:solidFill>
                  <a:schemeClr val="tx1"/>
                </a:solidFill>
              </a:ln>
            </c:spPr>
          </c:marker>
          <c:dLbls>
            <c:dLbl>
              <c:idx val="16"/>
              <c:layout/>
              <c:tx>
                <c:rich>
                  <a:bodyPr/>
                  <a:lstStyle/>
                  <a:p>
                    <a:r>
                      <a:rPr lang="en-US" b="0"/>
                      <a:t>95%</a:t>
                    </a:r>
                  </a:p>
                </c:rich>
              </c:tx>
              <c:dLblPos val="t"/>
              <c:showLegendKey val="0"/>
              <c:showVal val="1"/>
              <c:showCatName val="0"/>
              <c:showSerName val="0"/>
              <c:showPercent val="0"/>
              <c:showBubbleSize val="0"/>
            </c:dLbl>
            <c:dLblPos val="t"/>
            <c:showLegendKey val="0"/>
            <c:showVal val="1"/>
            <c:showCatName val="0"/>
            <c:showSerName val="0"/>
            <c:showPercent val="0"/>
            <c:showBubbleSize val="0"/>
            <c:showLeaderLines val="0"/>
          </c:dLbls>
          <c:val>
            <c:numRef>
              <c:f>'Current version'!$D$20:$AA$20</c:f>
              <c:numCache>
                <c:formatCode>0%</c:formatCode>
                <c:ptCount val="24"/>
                <c:pt idx="16">
                  <c:v>0.95</c:v>
                </c:pt>
              </c:numCache>
            </c:numRef>
          </c:val>
          <c:smooth val="0"/>
        </c:ser>
        <c:dLbls>
          <c:showLegendKey val="0"/>
          <c:showVal val="1"/>
          <c:showCatName val="0"/>
          <c:showSerName val="0"/>
          <c:showPercent val="0"/>
          <c:showBubbleSize val="0"/>
        </c:dLbls>
        <c:marker val="1"/>
        <c:smooth val="0"/>
        <c:axId val="254237312"/>
        <c:axId val="254234624"/>
      </c:lineChart>
      <c:dateAx>
        <c:axId val="335757312"/>
        <c:scaling>
          <c:orientation val="minMax"/>
        </c:scaling>
        <c:delete val="0"/>
        <c:axPos val="b"/>
        <c:numFmt formatCode="[$-409]d\-mmm;@" sourceLinked="1"/>
        <c:majorTickMark val="out"/>
        <c:minorTickMark val="none"/>
        <c:tickLblPos val="low"/>
        <c:txPr>
          <a:bodyPr rot="0" vert="horz"/>
          <a:lstStyle/>
          <a:p>
            <a:pPr>
              <a:defRPr/>
            </a:pPr>
            <a:endParaRPr lang="en-US"/>
          </a:p>
        </c:txPr>
        <c:crossAx val="335759232"/>
        <c:crossesAt val="0"/>
        <c:auto val="1"/>
        <c:lblOffset val="100"/>
        <c:baseTimeUnit val="days"/>
      </c:dateAx>
      <c:valAx>
        <c:axId val="335759232"/>
        <c:scaling>
          <c:orientation val="minMax"/>
        </c:scaling>
        <c:delete val="0"/>
        <c:axPos val="l"/>
        <c:majorGridlines/>
        <c:title>
          <c:tx>
            <c:rich>
              <a:bodyPr rot="-5400000" vert="horz"/>
              <a:lstStyle/>
              <a:p>
                <a:pPr>
                  <a:defRPr sz="1200" b="0">
                    <a:solidFill>
                      <a:srgbClr val="FF0000"/>
                    </a:solidFill>
                  </a:defRPr>
                </a:pPr>
                <a:r>
                  <a:rPr lang="en-US" sz="1200" b="0">
                    <a:solidFill>
                      <a:srgbClr val="FF0000"/>
                    </a:solidFill>
                  </a:rPr>
                  <a:t>Varroa r value</a:t>
                </a:r>
              </a:p>
            </c:rich>
          </c:tx>
          <c:layout/>
          <c:overlay val="0"/>
        </c:title>
        <c:numFmt formatCode="0.000" sourceLinked="1"/>
        <c:majorTickMark val="out"/>
        <c:minorTickMark val="none"/>
        <c:tickLblPos val="nextTo"/>
        <c:crossAx val="335757312"/>
        <c:crosses val="autoZero"/>
        <c:crossBetween val="midCat"/>
      </c:valAx>
      <c:valAx>
        <c:axId val="254234624"/>
        <c:scaling>
          <c:orientation val="minMax"/>
        </c:scaling>
        <c:delete val="0"/>
        <c:axPos val="r"/>
        <c:title>
          <c:tx>
            <c:rich>
              <a:bodyPr rot="-5400000" vert="horz"/>
              <a:lstStyle/>
              <a:p>
                <a:pPr>
                  <a:defRPr/>
                </a:pPr>
                <a:r>
                  <a:rPr lang="en-US"/>
                  <a:t>Change in mite pop other than those lost to treatment</a:t>
                </a:r>
              </a:p>
            </c:rich>
          </c:tx>
          <c:layout/>
          <c:overlay val="0"/>
        </c:title>
        <c:numFmt formatCode="#,##0" sourceLinked="1"/>
        <c:majorTickMark val="out"/>
        <c:minorTickMark val="none"/>
        <c:tickLblPos val="nextTo"/>
        <c:crossAx val="254237312"/>
        <c:crosses val="max"/>
        <c:crossBetween val="between"/>
      </c:valAx>
      <c:dateAx>
        <c:axId val="254237312"/>
        <c:scaling>
          <c:orientation val="minMax"/>
        </c:scaling>
        <c:delete val="1"/>
        <c:axPos val="b"/>
        <c:numFmt formatCode="d\ mmm" sourceLinked="1"/>
        <c:majorTickMark val="out"/>
        <c:minorTickMark val="none"/>
        <c:tickLblPos val="nextTo"/>
        <c:crossAx val="254234624"/>
        <c:auto val="1"/>
        <c:lblOffset val="100"/>
        <c:baseTimeUnit val="days"/>
        <c:majorUnit val="1"/>
        <c:minorUnit val="1"/>
      </c:dateAx>
    </c:plotArea>
    <c:legend>
      <c:legendPos val="r"/>
      <c:layout>
        <c:manualLayout>
          <c:xMode val="edge"/>
          <c:yMode val="edge"/>
          <c:x val="0.13301456438038542"/>
          <c:y val="0.27106192395937134"/>
          <c:w val="0.41314791438017939"/>
          <c:h val="0.10731378565449197"/>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295.30404480109866</c:v>
                </c:pt>
                <c:pt idx="8">
                  <c:v>444.0548992511184</c:v>
                </c:pt>
                <c:pt idx="9">
                  <c:v>641.94574648885691</c:v>
                </c:pt>
                <c:pt idx="10">
                  <c:v>947.72438028959118</c:v>
                </c:pt>
                <c:pt idx="11">
                  <c:v>1291.2024064274724</c:v>
                </c:pt>
                <c:pt idx="12">
                  <c:v>1708.9772769223123</c:v>
                </c:pt>
                <c:pt idx="13">
                  <c:v>2154.5864678570797</c:v>
                </c:pt>
                <c:pt idx="14">
                  <c:v>2686.0417160549705</c:v>
                </c:pt>
                <c:pt idx="15">
                  <c:v>3328.7145125681291</c:v>
                </c:pt>
                <c:pt idx="16">
                  <c:v>4179.9855389682971</c:v>
                </c:pt>
                <c:pt idx="17">
                  <c:v>5293.267343720473</c:v>
                </c:pt>
                <c:pt idx="18">
                  <c:v>377.18376093460051</c:v>
                </c:pt>
                <c:pt idx="19">
                  <c:v>322.6460064347109</c:v>
                </c:pt>
                <c:pt idx="20">
                  <c:v>0</c:v>
                </c:pt>
                <c:pt idx="21">
                  <c:v>0</c:v>
                </c:pt>
                <c:pt idx="22">
                  <c:v>0</c:v>
                </c:pt>
                <c:pt idx="23">
                  <c:v>0</c:v>
                </c:pt>
                <c:pt idx="24">
                  <c:v>0</c:v>
                </c:pt>
              </c:numCache>
            </c:numRef>
          </c:val>
        </c:ser>
        <c:dLbls>
          <c:showLegendKey val="0"/>
          <c:showVal val="0"/>
          <c:showCatName val="0"/>
          <c:showSerName val="0"/>
          <c:showPercent val="0"/>
          <c:showBubbleSize val="0"/>
        </c:dLbls>
        <c:axId val="336320384"/>
        <c:axId val="336321920"/>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336481664"/>
        <c:axId val="33647974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452.92362735867829</c:v>
                </c:pt>
                <c:pt idx="8">
                  <c:v>713.39264021710289</c:v>
                </c:pt>
                <c:pt idx="9">
                  <c:v>1110.8045936095737</c:v>
                </c:pt>
                <c:pt idx="10">
                  <c:v>1674.9196894065412</c:v>
                </c:pt>
                <c:pt idx="11">
                  <c:v>2452.4498287807787</c:v>
                </c:pt>
                <c:pt idx="12">
                  <c:v>3447.3164353810098</c:v>
                </c:pt>
                <c:pt idx="13">
                  <c:v>4732.0953322384485</c:v>
                </c:pt>
                <c:pt idx="14">
                  <c:v>6273.0586853530467</c:v>
                </c:pt>
                <c:pt idx="15">
                  <c:v>8204.7437386185684</c:v>
                </c:pt>
                <c:pt idx="16">
                  <c:v>10381.700433624948</c:v>
                </c:pt>
                <c:pt idx="17">
                  <c:v>12708.797970821079</c:v>
                </c:pt>
                <c:pt idx="18">
                  <c:v>750.07183729033204</c:v>
                </c:pt>
                <c:pt idx="19">
                  <c:v>885.99682272861855</c:v>
                </c:pt>
                <c:pt idx="20">
                  <c:v>918.38648299910312</c:v>
                </c:pt>
                <c:pt idx="21">
                  <c:v>625.16132746302333</c:v>
                </c:pt>
                <c:pt idx="22">
                  <c:v>557.19538900908242</c:v>
                </c:pt>
                <c:pt idx="23">
                  <c:v>506.15301983702579</c:v>
                </c:pt>
                <c:pt idx="24">
                  <c:v>459.49845079557696</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336320384"/>
        <c:axId val="336321920"/>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1.9211418866832297</c:v>
                </c:pt>
                <c:pt idx="8">
                  <c:v>2.5421262399682134</c:v>
                </c:pt>
                <c:pt idx="9">
                  <c:v>3.4912793048926494</c:v>
                </c:pt>
                <c:pt idx="10">
                  <c:v>4.5960715348805854</c:v>
                </c:pt>
                <c:pt idx="11">
                  <c:v>6.4926798782512529</c:v>
                </c:pt>
                <c:pt idx="12">
                  <c:v>8.9650869643731266</c:v>
                </c:pt>
                <c:pt idx="13">
                  <c:v>12.770602339536904</c:v>
                </c:pt>
                <c:pt idx="14">
                  <c:v>17.482269794579789</c:v>
                </c:pt>
                <c:pt idx="15">
                  <c:v>25.907021786597031</c:v>
                </c:pt>
                <c:pt idx="16">
                  <c:v>37.809950683946809</c:v>
                </c:pt>
                <c:pt idx="17">
                  <c:v>49.575727014076882</c:v>
                </c:pt>
                <c:pt idx="18">
                  <c:v>3.7702108613275152</c:v>
                </c:pt>
                <c:pt idx="19">
                  <c:v>6.7893981355199688</c:v>
                </c:pt>
                <c:pt idx="20">
                  <c:v>16.071763452484305</c:v>
                </c:pt>
                <c:pt idx="21">
                  <c:v>11.583871655932491</c:v>
                </c:pt>
                <c:pt idx="22">
                  <c:v>10.637366517446118</c:v>
                </c:pt>
                <c:pt idx="23">
                  <c:v>9.964887578041445</c:v>
                </c:pt>
                <c:pt idx="24">
                  <c:v>9.0463757500379209</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2.1792982143589483E-2</c:v>
                </c:pt>
              </c:numCache>
            </c:numRef>
          </c:val>
          <c:smooth val="0"/>
        </c:ser>
        <c:dLbls>
          <c:showLegendKey val="0"/>
          <c:showVal val="0"/>
          <c:showCatName val="0"/>
          <c:showSerName val="0"/>
          <c:showPercent val="0"/>
          <c:showBubbleSize val="0"/>
        </c:dLbls>
        <c:marker val="1"/>
        <c:smooth val="0"/>
        <c:axId val="336481664"/>
        <c:axId val="336479744"/>
      </c:lineChart>
      <c:dateAx>
        <c:axId val="336320384"/>
        <c:scaling>
          <c:orientation val="minMax"/>
        </c:scaling>
        <c:delete val="0"/>
        <c:axPos val="b"/>
        <c:numFmt formatCode="[$-409]d\-mmm;@" sourceLinked="1"/>
        <c:majorTickMark val="out"/>
        <c:minorTickMark val="none"/>
        <c:tickLblPos val="nextTo"/>
        <c:crossAx val="336321920"/>
        <c:crosses val="autoZero"/>
        <c:auto val="1"/>
        <c:lblOffset val="100"/>
        <c:baseTimeUnit val="days"/>
        <c:majorUnit val="1"/>
        <c:majorTimeUnit val="months"/>
        <c:minorUnit val="1"/>
        <c:minorTimeUnit val="months"/>
      </c:dateAx>
      <c:valAx>
        <c:axId val="336321920"/>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336320384"/>
        <c:crossesAt val="40544"/>
        <c:crossBetween val="midCat"/>
      </c:valAx>
      <c:valAx>
        <c:axId val="33647974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336481664"/>
        <c:crosses val="max"/>
        <c:crossBetween val="between"/>
      </c:valAx>
      <c:dateAx>
        <c:axId val="336481664"/>
        <c:scaling>
          <c:orientation val="minMax"/>
        </c:scaling>
        <c:delete val="1"/>
        <c:axPos val="b"/>
        <c:numFmt formatCode="[$-409]d\-mmm;@" sourceLinked="1"/>
        <c:majorTickMark val="out"/>
        <c:minorTickMark val="none"/>
        <c:tickLblPos val="none"/>
        <c:crossAx val="33647974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4452848761708"/>
          <c:y val="0.1800425262667659"/>
          <c:w val="0.81578998392407998"/>
          <c:h val="0.67565581962372301"/>
        </c:manualLayout>
      </c:layout>
      <c:lineChart>
        <c:grouping val="standard"/>
        <c:varyColors val="0"/>
        <c:ser>
          <c:idx val="0"/>
          <c:order val="0"/>
          <c:tx>
            <c:v>Mite increase</c:v>
          </c:tx>
          <c:spPr>
            <a:ln>
              <a:solidFill>
                <a:srgbClr val="FF0000"/>
              </a:solidFill>
            </a:ln>
          </c:spPr>
          <c:marker>
            <c:spPr>
              <a:solidFill>
                <a:srgbClr val="FF0000"/>
              </a:solidFill>
              <a:ln>
                <a:noFill/>
              </a:ln>
            </c:spPr>
          </c:marker>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reduction'!$F$18:$F$30</c:f>
              <c:numCache>
                <c:formatCode>0</c:formatCode>
                <c:ptCount val="13"/>
                <c:pt idx="0" formatCode="General">
                  <c:v>1</c:v>
                </c:pt>
                <c:pt idx="1">
                  <c:v>1.9347923344020315</c:v>
                </c:pt>
                <c:pt idx="2">
                  <c:v>3.7434213772608622</c:v>
                </c:pt>
                <c:pt idx="3">
                  <c:v>7.2427429851610112</c:v>
                </c:pt>
                <c:pt idx="4">
                  <c:v>14.013203607733612</c:v>
                </c:pt>
                <c:pt idx="5">
                  <c:v>27.112638920657883</c:v>
                </c:pt>
                <c:pt idx="6">
                  <c:v>52.457325949099037</c:v>
                </c:pt>
                <c:pt idx="7">
                  <c:v>101.49403212954559</c:v>
                </c:pt>
                <c:pt idx="8">
                  <c:v>87.323860817943284</c:v>
                </c:pt>
                <c:pt idx="9">
                  <c:v>75.132069424717528</c:v>
                </c:pt>
                <c:pt idx="10">
                  <c:v>64.642444838864435</c:v>
                </c:pt>
                <c:pt idx="11">
                  <c:v>55.617337666076693</c:v>
                </c:pt>
                <c:pt idx="12">
                  <c:v>47.852278124274186</c:v>
                </c:pt>
              </c:numCache>
            </c:numRef>
          </c:val>
          <c:smooth val="0"/>
        </c:ser>
        <c:ser>
          <c:idx val="1"/>
          <c:order val="1"/>
          <c:tx>
            <c:v>Treatment</c:v>
          </c:tx>
          <c:spPr>
            <a:ln>
              <a:noFill/>
            </a:ln>
          </c:spPr>
          <c:marker>
            <c:symbol val="triangle"/>
            <c:size val="12"/>
            <c:spPr>
              <a:solidFill>
                <a:schemeClr val="tx1"/>
              </a:solidFill>
            </c:spPr>
          </c:marker>
          <c:dLbls>
            <c:txPr>
              <a:bodyPr/>
              <a:lstStyle/>
              <a:p>
                <a:pPr>
                  <a:defRPr sz="1200" b="1">
                    <a:solidFill>
                      <a:schemeClr val="tx1"/>
                    </a:solidFill>
                  </a:defRPr>
                </a:pPr>
                <a:endParaRPr lang="en-US"/>
              </a:p>
            </c:txPr>
            <c:dLblPos val="t"/>
            <c:showLegendKey val="0"/>
            <c:showVal val="1"/>
            <c:showCatName val="0"/>
            <c:showSerName val="0"/>
            <c:showPercent val="0"/>
            <c:showBubbleSize val="0"/>
            <c:showLeaderLines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reduction'!$E$19:$E$30</c:f>
              <c:numCache>
                <c:formatCode>0%</c:formatCode>
                <c:ptCount val="12"/>
              </c:numCache>
            </c:numRef>
          </c:val>
          <c:smooth val="0"/>
        </c:ser>
        <c:ser>
          <c:idx val="2"/>
          <c:order val="2"/>
          <c:tx>
            <c:v>Start</c:v>
          </c:tx>
          <c:spPr>
            <a:ln w="19050">
              <a:solidFill>
                <a:srgbClr val="0070C0"/>
              </a:solidFill>
              <a:prstDash val="sysDash"/>
            </a:ln>
          </c:spPr>
          <c:marker>
            <c:symbol val="none"/>
          </c:marker>
          <c:dLbls>
            <c:dLbl>
              <c:idx val="6"/>
              <c:layout>
                <c:manualLayout>
                  <c:x val="0.10686808850704635"/>
                  <c:y val="3.2364612536990803E-3"/>
                </c:manualLayout>
              </c:layout>
              <c:tx>
                <c:rich>
                  <a:bodyPr/>
                  <a:lstStyle/>
                  <a:p>
                    <a:r>
                      <a:rPr lang="en-US" b="1">
                        <a:solidFill>
                          <a:srgbClr val="0070C0"/>
                        </a:solidFill>
                      </a:rPr>
                      <a:t>Baseline</a:t>
                    </a:r>
                  </a:p>
                </c:rich>
              </c:tx>
              <c:dLblPos val="r"/>
              <c:showLegendKey val="0"/>
              <c:showVal val="1"/>
              <c:showCatName val="0"/>
              <c:showSerName val="0"/>
              <c:showPercent val="0"/>
              <c:showBubbleSize val="0"/>
            </c:dLbl>
            <c:spPr>
              <a:solidFill>
                <a:schemeClr val="bg1"/>
              </a:solidFill>
            </c:spPr>
            <c:showLegendKey val="0"/>
            <c:showVal val="0"/>
            <c:showCatName val="0"/>
            <c:showSerName val="0"/>
            <c:showPercent val="0"/>
            <c:showBubbleSize val="0"/>
          </c:dLbls>
          <c:cat>
            <c:numRef>
              <c:f>'Necessary mite reduction'!$C$18:$C$30</c:f>
              <c:numCache>
                <c:formatCode>General</c:formatCode>
                <c:ptCount val="13"/>
                <c:pt idx="0">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'Necessary mite reduction'!$G$18:$G$30</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ser>
        <c:dLbls>
          <c:showLegendKey val="0"/>
          <c:showVal val="0"/>
          <c:showCatName val="0"/>
          <c:showSerName val="0"/>
          <c:showPercent val="0"/>
          <c:showBubbleSize val="0"/>
        </c:dLbls>
        <c:marker val="1"/>
        <c:smooth val="0"/>
        <c:axId val="235151360"/>
        <c:axId val="235153280"/>
      </c:lineChart>
      <c:catAx>
        <c:axId val="235151360"/>
        <c:scaling>
          <c:orientation val="minMax"/>
        </c:scaling>
        <c:delete val="0"/>
        <c:axPos val="b"/>
        <c:title>
          <c:tx>
            <c:rich>
              <a:bodyPr/>
              <a:lstStyle/>
              <a:p>
                <a:pPr>
                  <a:defRPr/>
                </a:pPr>
                <a:r>
                  <a:rPr lang="en-US"/>
                  <a:t>Months</a:t>
                </a:r>
              </a:p>
            </c:rich>
          </c:tx>
          <c:layout/>
          <c:overlay val="0"/>
        </c:title>
        <c:numFmt formatCode="General" sourceLinked="1"/>
        <c:majorTickMark val="out"/>
        <c:minorTickMark val="none"/>
        <c:tickLblPos val="nextTo"/>
        <c:crossAx val="235153280"/>
        <c:crosses val="autoZero"/>
        <c:auto val="1"/>
        <c:lblAlgn val="ctr"/>
        <c:lblOffset val="100"/>
        <c:noMultiLvlLbl val="0"/>
      </c:catAx>
      <c:valAx>
        <c:axId val="235153280"/>
        <c:scaling>
          <c:orientation val="minMax"/>
          <c:max val="100"/>
          <c:min val="0"/>
        </c:scaling>
        <c:delete val="0"/>
        <c:axPos val="l"/>
        <c:majorGridlines/>
        <c:title>
          <c:tx>
            <c:rich>
              <a:bodyPr rot="-5400000" vert="horz"/>
              <a:lstStyle/>
              <a:p>
                <a:pPr>
                  <a:defRPr sz="1400"/>
                </a:pPr>
                <a:r>
                  <a:rPr lang="en-US" sz="1400"/>
                  <a:t>Fold increase in mite</a:t>
                </a:r>
                <a:r>
                  <a:rPr lang="en-US" sz="1400" baseline="0"/>
                  <a:t> pop</a:t>
                </a:r>
                <a:r>
                  <a:rPr lang="en-US" sz="1400"/>
                  <a:t> from start</a:t>
                </a:r>
              </a:p>
            </c:rich>
          </c:tx>
          <c:layout/>
          <c:overlay val="0"/>
        </c:title>
        <c:numFmt formatCode="0&quot;x&quot;" sourceLinked="0"/>
        <c:majorTickMark val="out"/>
        <c:minorTickMark val="none"/>
        <c:tickLblPos val="nextTo"/>
        <c:crossAx val="235151360"/>
        <c:crosses val="autoZero"/>
        <c:crossBetween val="between"/>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survivorship</a:t>
            </a:r>
          </a:p>
        </c:rich>
      </c:tx>
      <c:layout/>
      <c:overlay val="0"/>
    </c:title>
    <c:autoTitleDeleted val="0"/>
    <c:plotArea>
      <c:layout/>
      <c:lineChart>
        <c:grouping val="standard"/>
        <c:varyColors val="0"/>
        <c:ser>
          <c:idx val="0"/>
          <c:order val="0"/>
          <c:spPr>
            <a:ln w="12700">
              <a:solidFill>
                <a:schemeClr val="tx1"/>
              </a:solidFill>
            </a:ln>
          </c:spPr>
          <c:marker>
            <c:symbol val="circle"/>
            <c:size val="3"/>
            <c:spPr>
              <a:solidFill>
                <a:schemeClr val="tx1"/>
              </a:solidFill>
              <a:ln>
                <a:noFill/>
              </a:ln>
            </c:spPr>
          </c:marker>
          <c:cat>
            <c:numRef>
              <c:f>'Necessary mite reduction'!$B$47:$B$67</c:f>
              <c:numCache>
                <c:formatCode>General</c:formatCode>
                <c:ptCount val="21"/>
                <c:pt idx="0">
                  <c:v>0</c:v>
                </c:pt>
                <c:pt idx="1">
                  <c:v>15</c:v>
                </c:pt>
                <c:pt idx="2">
                  <c:v>30</c:v>
                </c:pt>
                <c:pt idx="3">
                  <c:v>45</c:v>
                </c:pt>
                <c:pt idx="4">
                  <c:v>60</c:v>
                </c:pt>
                <c:pt idx="5">
                  <c:v>75</c:v>
                </c:pt>
                <c:pt idx="6">
                  <c:v>90</c:v>
                </c:pt>
                <c:pt idx="7">
                  <c:v>105</c:v>
                </c:pt>
                <c:pt idx="8">
                  <c:v>120</c:v>
                </c:pt>
                <c:pt idx="9">
                  <c:v>135</c:v>
                </c:pt>
                <c:pt idx="10">
                  <c:v>150</c:v>
                </c:pt>
                <c:pt idx="11">
                  <c:v>165</c:v>
                </c:pt>
                <c:pt idx="12">
                  <c:v>180</c:v>
                </c:pt>
                <c:pt idx="13">
                  <c:v>195</c:v>
                </c:pt>
                <c:pt idx="14">
                  <c:v>210</c:v>
                </c:pt>
                <c:pt idx="15">
                  <c:v>225</c:v>
                </c:pt>
                <c:pt idx="16">
                  <c:v>240</c:v>
                </c:pt>
                <c:pt idx="17">
                  <c:v>255</c:v>
                </c:pt>
                <c:pt idx="18">
                  <c:v>270</c:v>
                </c:pt>
                <c:pt idx="19">
                  <c:v>285</c:v>
                </c:pt>
                <c:pt idx="20">
                  <c:v>300</c:v>
                </c:pt>
              </c:numCache>
            </c:numRef>
          </c:cat>
          <c:val>
            <c:numRef>
              <c:f>'Necessary mite reduction'!$C$47:$C$67</c:f>
              <c:numCache>
                <c:formatCode>0</c:formatCode>
                <c:ptCount val="21"/>
                <c:pt idx="0">
                  <c:v>100</c:v>
                </c:pt>
                <c:pt idx="1">
                  <c:v>92.774348632855279</c:v>
                </c:pt>
                <c:pt idx="2">
                  <c:v>86.070797642505767</c:v>
                </c:pt>
                <c:pt idx="3">
                  <c:v>79.851621875937681</c:v>
                </c:pt>
                <c:pt idx="4">
                  <c:v>74.081822068171761</c:v>
                </c:pt>
                <c:pt idx="5">
                  <c:v>68.728927879097199</c:v>
                </c:pt>
                <c:pt idx="6">
                  <c:v>63.762815162177304</c:v>
                </c:pt>
                <c:pt idx="7">
                  <c:v>59.15553643668148</c:v>
                </c:pt>
                <c:pt idx="8">
                  <c:v>54.881163609402613</c:v>
                </c:pt>
                <c:pt idx="9">
                  <c:v>50.915642060754884</c:v>
                </c:pt>
                <c:pt idx="10">
                  <c:v>47.236655274101437</c:v>
                </c:pt>
                <c:pt idx="11">
                  <c:v>43.82349924649489</c:v>
                </c:pt>
                <c:pt idx="12">
                  <c:v>40.656965974059879</c:v>
                </c:pt>
                <c:pt idx="13">
                  <c:v>37.719235356315657</c:v>
                </c:pt>
                <c:pt idx="14">
                  <c:v>34.993774911115501</c:v>
                </c:pt>
                <c:pt idx="15">
                  <c:v>32.465246735834938</c:v>
                </c:pt>
                <c:pt idx="16">
                  <c:v>30.119421191220177</c:v>
                </c:pt>
                <c:pt idx="17">
                  <c:v>27.943096822140703</c:v>
                </c:pt>
                <c:pt idx="18">
                  <c:v>25.924026064589121</c:v>
                </c:pt>
                <c:pt idx="19">
                  <c:v>24.050846320834186</c:v>
                </c:pt>
                <c:pt idx="20">
                  <c:v>22.313016014842955</c:v>
                </c:pt>
              </c:numCache>
            </c:numRef>
          </c:val>
          <c:smooth val="0"/>
        </c:ser>
        <c:dLbls>
          <c:showLegendKey val="0"/>
          <c:showVal val="0"/>
          <c:showCatName val="0"/>
          <c:showSerName val="0"/>
          <c:showPercent val="0"/>
          <c:showBubbleSize val="0"/>
        </c:dLbls>
        <c:marker val="1"/>
        <c:smooth val="0"/>
        <c:axId val="235178240"/>
        <c:axId val="235193088"/>
      </c:lineChart>
      <c:catAx>
        <c:axId val="235178240"/>
        <c:scaling>
          <c:orientation val="minMax"/>
        </c:scaling>
        <c:delete val="0"/>
        <c:axPos val="b"/>
        <c:title>
          <c:tx>
            <c:rich>
              <a:bodyPr/>
              <a:lstStyle/>
              <a:p>
                <a:pPr>
                  <a:defRPr/>
                </a:pPr>
                <a:r>
                  <a:rPr lang="en-US"/>
                  <a:t>Days</a:t>
                </a:r>
              </a:p>
            </c:rich>
          </c:tx>
          <c:layout/>
          <c:overlay val="0"/>
        </c:title>
        <c:numFmt formatCode="General" sourceLinked="1"/>
        <c:majorTickMark val="out"/>
        <c:minorTickMark val="none"/>
        <c:tickLblPos val="nextTo"/>
        <c:crossAx val="235193088"/>
        <c:crosses val="autoZero"/>
        <c:auto val="1"/>
        <c:lblAlgn val="ctr"/>
        <c:lblOffset val="100"/>
        <c:noMultiLvlLbl val="0"/>
      </c:catAx>
      <c:valAx>
        <c:axId val="235193088"/>
        <c:scaling>
          <c:orientation val="minMax"/>
          <c:max val="100"/>
        </c:scaling>
        <c:delete val="0"/>
        <c:axPos val="l"/>
        <c:majorGridlines/>
        <c:title>
          <c:tx>
            <c:rich>
              <a:bodyPr rot="-5400000" vert="horz"/>
              <a:lstStyle/>
              <a:p>
                <a:pPr>
                  <a:defRPr sz="1200"/>
                </a:pPr>
                <a:r>
                  <a:rPr lang="en-US" sz="1200"/>
                  <a:t>Percent of original mites still alive</a:t>
                </a:r>
              </a:p>
            </c:rich>
          </c:tx>
          <c:layout/>
          <c:overlay val="0"/>
        </c:title>
        <c:numFmt formatCode="0" sourceLinked="1"/>
        <c:majorTickMark val="out"/>
        <c:minorTickMark val="none"/>
        <c:tickLblPos val="nextTo"/>
        <c:crossAx val="235178240"/>
        <c:crosses val="autoZero"/>
        <c:crossBetween val="midCat"/>
      </c:valAx>
    </c:plotArea>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change</a:t>
            </a:r>
            <a:r>
              <a:rPr lang="en-US" baseline="0"/>
              <a:t> in</a:t>
            </a:r>
            <a:r>
              <a:rPr lang="en-US"/>
              <a:t> the</a:t>
            </a:r>
            <a:r>
              <a:rPr lang="en-US" baseline="0"/>
              <a:t> varroa population and the bee population per time interval</a:t>
            </a:r>
            <a:endParaRPr lang="en-US"/>
          </a:p>
        </c:rich>
      </c:tx>
      <c:layout/>
      <c:overlay val="0"/>
    </c:title>
    <c:autoTitleDeleted val="0"/>
    <c:plotArea>
      <c:layout>
        <c:manualLayout>
          <c:layoutTarget val="inner"/>
          <c:xMode val="edge"/>
          <c:yMode val="edge"/>
          <c:x val="0.12901539606399778"/>
          <c:y val="0.20043608201583815"/>
          <c:w val="0.60672016572641052"/>
          <c:h val="0.68850843966162567"/>
        </c:manualLayout>
      </c:layout>
      <c:lineChart>
        <c:grouping val="standard"/>
        <c:varyColors val="0"/>
        <c:ser>
          <c:idx val="0"/>
          <c:order val="0"/>
          <c:tx>
            <c:strRef>
              <c:f>'Relative rates of increase'!$C$29</c:f>
              <c:strCache>
                <c:ptCount val="1"/>
                <c:pt idx="0">
                  <c:v>% change in mite pop</c:v>
                </c:pt>
              </c:strCache>
            </c:strRef>
          </c:tx>
          <c:spPr>
            <a:ln>
              <a:solidFill>
                <a:srgbClr val="FF0000"/>
              </a:solidFill>
            </a:ln>
          </c:spPr>
          <c:marker>
            <c:symbol val="circle"/>
            <c:size val="5"/>
            <c:spPr>
              <a:solidFill>
                <a:srgbClr val="FF0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increase'!$C$30:$C$55</c:f>
              <c:numCache>
                <c:formatCode>General</c:formatCode>
                <c:ptCount val="26"/>
                <c:pt idx="1">
                  <c:v>-7.3399166893701517E-2</c:v>
                </c:pt>
                <c:pt idx="2">
                  <c:v>8.2678537267374175E-2</c:v>
                </c:pt>
                <c:pt idx="3">
                  <c:v>0.24022442086289875</c:v>
                </c:pt>
                <c:pt idx="4">
                  <c:v>0.27531034860799775</c:v>
                </c:pt>
                <c:pt idx="5">
                  <c:v>0.30656249467657171</c:v>
                </c:pt>
                <c:pt idx="6">
                  <c:v>0.40275096711035152</c:v>
                </c:pt>
                <c:pt idx="7">
                  <c:v>0.55742031819652538</c:v>
                </c:pt>
                <c:pt idx="8">
                  <c:v>0.57508373846029137</c:v>
                </c:pt>
                <c:pt idx="9">
                  <c:v>0.55707324548726578</c:v>
                </c:pt>
                <c:pt idx="10">
                  <c:v>0.50784368289643855</c:v>
                </c:pt>
                <c:pt idx="11">
                  <c:v>0.46421935588430063</c:v>
                </c:pt>
                <c:pt idx="12">
                  <c:v>0.40566236867517214</c:v>
                </c:pt>
                <c:pt idx="13">
                  <c:v>0.37268957490275767</c:v>
                </c:pt>
                <c:pt idx="14">
                  <c:v>0.32564080918159943</c:v>
                </c:pt>
                <c:pt idx="15">
                  <c:v>0.30793352177237066</c:v>
                </c:pt>
                <c:pt idx="16">
                  <c:v>0.26532902968800265</c:v>
                </c:pt>
                <c:pt idx="17">
                  <c:v>0.22415379369442889</c:v>
                </c:pt>
                <c:pt idx="18">
                  <c:v>-0.94098011165080531</c:v>
                </c:pt>
                <c:pt idx="19">
                  <c:v>0.18121595650000888</c:v>
                </c:pt>
                <c:pt idx="20">
                  <c:v>3.6557309732481391E-2</c:v>
                </c:pt>
                <c:pt idx="21">
                  <c:v>-0.31928296089301889</c:v>
                </c:pt>
                <c:pt idx="22">
                  <c:v>-0.10871743895252528</c:v>
                </c:pt>
                <c:pt idx="23">
                  <c:v>-9.1605871439156217E-2</c:v>
                </c:pt>
                <c:pt idx="24">
                  <c:v>-9.2174830956201714E-2</c:v>
                </c:pt>
              </c:numCache>
            </c:numRef>
          </c:val>
          <c:smooth val="0"/>
        </c:ser>
        <c:ser>
          <c:idx val="1"/>
          <c:order val="1"/>
          <c:tx>
            <c:strRef>
              <c:f>'Relative rates of increase'!$D$29</c:f>
              <c:strCache>
                <c:ptCount val="1"/>
                <c:pt idx="0">
                  <c:v>% change in bee pop</c:v>
                </c:pt>
              </c:strCache>
            </c:strRef>
          </c:tx>
          <c:spPr>
            <a:ln>
              <a:solidFill>
                <a:srgbClr val="FFC000"/>
              </a:solidFill>
            </a:ln>
          </c:spPr>
          <c:marker>
            <c:symbol val="circle"/>
            <c:size val="5"/>
            <c:spPr>
              <a:solidFill>
                <a:srgbClr val="FFC000"/>
              </a:solidFill>
              <a:ln>
                <a:noFill/>
              </a:ln>
            </c:spPr>
          </c:marker>
          <c:cat>
            <c:numRef>
              <c:f>'Relative rates of increase'!$B$30:$B$55</c:f>
              <c:numCache>
                <c:formatCode>[$-409]d\-mmm;@</c:formatCode>
                <c:ptCount val="26"/>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'Relative rates of increase'!$D$30:$D$55</c:f>
              <c:numCache>
                <c:formatCode>#,##0.000</c:formatCode>
                <c:ptCount val="26"/>
                <c:pt idx="1">
                  <c:v>0</c:v>
                </c:pt>
                <c:pt idx="2">
                  <c:v>0</c:v>
                </c:pt>
                <c:pt idx="3">
                  <c:v>-0.125</c:v>
                </c:pt>
                <c:pt idx="4">
                  <c:v>0</c:v>
                </c:pt>
                <c:pt idx="5">
                  <c:v>-0.1428571428571429</c:v>
                </c:pt>
                <c:pt idx="6">
                  <c:v>0</c:v>
                </c:pt>
                <c:pt idx="7">
                  <c:v>0.33333333333333326</c:v>
                </c:pt>
                <c:pt idx="8">
                  <c:v>0.375</c:v>
                </c:pt>
                <c:pt idx="9">
                  <c:v>0.36363636363636354</c:v>
                </c:pt>
                <c:pt idx="10">
                  <c:v>0.26666666666666661</c:v>
                </c:pt>
                <c:pt idx="11">
                  <c:v>0.15789473684210531</c:v>
                </c:pt>
                <c:pt idx="12">
                  <c:v>9.0909090909090828E-2</c:v>
                </c:pt>
                <c:pt idx="13">
                  <c:v>4.1666666666666741E-2</c:v>
                </c:pt>
                <c:pt idx="14">
                  <c:v>0</c:v>
                </c:pt>
                <c:pt idx="15">
                  <c:v>-0.12</c:v>
                </c:pt>
                <c:pt idx="16">
                  <c:v>-0.13636363636363635</c:v>
                </c:pt>
                <c:pt idx="17">
                  <c:v>-0.15789473684210531</c:v>
                </c:pt>
                <c:pt idx="18">
                  <c:v>-6.25E-2</c:v>
                </c:pt>
                <c:pt idx="19">
                  <c:v>-0.19999999999999996</c:v>
                </c:pt>
                <c:pt idx="20">
                  <c:v>-0.25</c:v>
                </c:pt>
                <c:pt idx="21">
                  <c:v>-5.555555555555558E-2</c:v>
                </c:pt>
                <c:pt idx="22">
                  <c:v>-2.9411764705882359E-2</c:v>
                </c:pt>
                <c:pt idx="23">
                  <c:v>-3.0303030303030276E-2</c:v>
                </c:pt>
                <c:pt idx="24">
                  <c:v>0</c:v>
                </c:pt>
              </c:numCache>
            </c:numRef>
          </c:val>
          <c:smooth val="0"/>
        </c:ser>
        <c:dLbls>
          <c:showLegendKey val="0"/>
          <c:showVal val="0"/>
          <c:showCatName val="0"/>
          <c:showSerName val="0"/>
          <c:showPercent val="0"/>
          <c:showBubbleSize val="0"/>
        </c:dLbls>
        <c:marker val="1"/>
        <c:smooth val="0"/>
        <c:axId val="254993920"/>
        <c:axId val="254995840"/>
      </c:lineChart>
      <c:dateAx>
        <c:axId val="254993920"/>
        <c:scaling>
          <c:orientation val="minMax"/>
        </c:scaling>
        <c:delete val="0"/>
        <c:axPos val="b"/>
        <c:numFmt formatCode="[$-409]d\-mmm;@" sourceLinked="1"/>
        <c:majorTickMark val="out"/>
        <c:minorTickMark val="none"/>
        <c:tickLblPos val="low"/>
        <c:crossAx val="254995840"/>
        <c:crosses val="autoZero"/>
        <c:auto val="1"/>
        <c:lblOffset val="100"/>
        <c:baseTimeUnit val="days"/>
      </c:dateAx>
      <c:valAx>
        <c:axId val="254995840"/>
        <c:scaling>
          <c:orientation val="minMax"/>
          <c:max val="0.8"/>
          <c:min val="-0.4"/>
        </c:scaling>
        <c:delete val="0"/>
        <c:axPos val="l"/>
        <c:majorGridlines/>
        <c:title>
          <c:tx>
            <c:rich>
              <a:bodyPr rot="-5400000" vert="horz"/>
              <a:lstStyle/>
              <a:p>
                <a:pPr>
                  <a:defRPr sz="1100" b="0"/>
                </a:pPr>
                <a:r>
                  <a:rPr lang="en-US" sz="1100" b="1"/>
                  <a:t>Percent change in population</a:t>
                </a:r>
                <a:r>
                  <a:rPr lang="en-US" sz="1100" b="1" baseline="0"/>
                  <a:t> in </a:t>
                </a:r>
                <a:r>
                  <a:rPr lang="en-US" sz="1100" b="1"/>
                  <a:t>time period</a:t>
                </a:r>
              </a:p>
            </c:rich>
          </c:tx>
          <c:layout/>
          <c:overlay val="0"/>
        </c:title>
        <c:numFmt formatCode="0%" sourceLinked="0"/>
        <c:majorTickMark val="out"/>
        <c:minorTickMark val="none"/>
        <c:tickLblPos val="nextTo"/>
        <c:crossAx val="254993920"/>
        <c:crosses val="autoZero"/>
        <c:crossBetween val="midCat"/>
      </c:valAx>
    </c:plotArea>
    <c:legend>
      <c:legendPos val="r"/>
      <c:layout>
        <c:manualLayout>
          <c:xMode val="edge"/>
          <c:yMode val="edge"/>
          <c:x val="0.3678582061205844"/>
          <c:y val="0.19793238139728608"/>
          <c:w val="0.37246127154575043"/>
          <c:h val="0.11903755776060516"/>
        </c:manualLayout>
      </c:layout>
      <c:overlay val="0"/>
      <c:spPr>
        <a:noFill/>
      </c:sp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version'!$CB$88:$CB$106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version'!$CD$88:$CD$106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'Current version'!$CA$88:$CA$106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'Current version'!$BY$88:$BY$106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32356864"/>
        <c:axId val="232359424"/>
      </c:scatterChart>
      <c:valAx>
        <c:axId val="232356864"/>
        <c:scaling>
          <c:orientation val="minMax"/>
        </c:scaling>
        <c:delete val="0"/>
        <c:axPos val="b"/>
        <c:title>
          <c:tx>
            <c:rich>
              <a:bodyPr/>
              <a:lstStyle/>
              <a:p>
                <a:pPr>
                  <a:defRPr/>
                </a:pPr>
                <a:r>
                  <a:rPr lang="en-US"/>
                  <a:t>Brood:bee ratio</a:t>
                </a:r>
              </a:p>
            </c:rich>
          </c:tx>
          <c:layout/>
          <c:overlay val="0"/>
        </c:title>
        <c:numFmt formatCode="0.0000" sourceLinked="1"/>
        <c:majorTickMark val="out"/>
        <c:minorTickMark val="none"/>
        <c:tickLblPos val="nextTo"/>
        <c:crossAx val="232359424"/>
        <c:crosses val="autoZero"/>
        <c:crossBetween val="midCat"/>
      </c:valAx>
      <c:valAx>
        <c:axId val="232359424"/>
        <c:scaling>
          <c:orientation val="minMax"/>
        </c:scaling>
        <c:delete val="0"/>
        <c:axPos val="l"/>
        <c:majorGridlines/>
        <c:title>
          <c:tx>
            <c:rich>
              <a:bodyPr rot="-5400000" vert="horz"/>
              <a:lstStyle/>
              <a:p>
                <a:pPr>
                  <a:defRPr/>
                </a:pPr>
                <a:r>
                  <a:rPr lang="en-US"/>
                  <a:t>Mean days phoretic</a:t>
                </a:r>
              </a:p>
            </c:rich>
          </c:tx>
          <c:layout/>
          <c:overlay val="0"/>
        </c:title>
        <c:numFmt formatCode="General" sourceLinked="1"/>
        <c:majorTickMark val="out"/>
        <c:minorTickMark val="none"/>
        <c:tickLblPos val="nextTo"/>
        <c:crossAx val="232356864"/>
        <c:crosses val="autoZero"/>
        <c:crossBetween val="midCat"/>
      </c:valAx>
    </c:plotArea>
    <c:legend>
      <c:legendPos val="r"/>
      <c:layout/>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4029872446247"/>
          <c:y val="0.26682019427003761"/>
          <c:w val="0.68047390446079281"/>
          <c:h val="0.5713791834413231"/>
        </c:manualLayout>
      </c:layout>
      <c:lineChart>
        <c:grouping val="standard"/>
        <c:varyColors val="0"/>
        <c:ser>
          <c:idx val="0"/>
          <c:order val="1"/>
          <c:tx>
            <c:v>Varroa population in hive</c:v>
          </c:tx>
          <c:spPr>
            <a:ln>
              <a:solidFill>
                <a:srgbClr val="FF0000"/>
              </a:solidFill>
            </a:ln>
          </c:spPr>
          <c:marker>
            <c:symbol val="circle"/>
            <c:size val="5"/>
            <c:spPr>
              <a:solidFill>
                <a:srgbClr val="FF0000"/>
              </a:solidFill>
              <a:ln>
                <a:noFill/>
              </a:ln>
            </c:spPr>
          </c:marker>
          <c:cat>
            <c:numRef>
              <c:f>'Current version'!$AZ$4:$AZ$28</c:f>
              <c:numCache>
                <c:formatCode>d\ 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452.92362735867829</c:v>
                </c:pt>
                <c:pt idx="8">
                  <c:v>713.39264021710289</c:v>
                </c:pt>
                <c:pt idx="9">
                  <c:v>1110.8045936095737</c:v>
                </c:pt>
                <c:pt idx="10">
                  <c:v>1674.9196894065412</c:v>
                </c:pt>
                <c:pt idx="11">
                  <c:v>2452.4498287807787</c:v>
                </c:pt>
                <c:pt idx="12">
                  <c:v>3447.3164353810098</c:v>
                </c:pt>
                <c:pt idx="13">
                  <c:v>4732.0953322384485</c:v>
                </c:pt>
                <c:pt idx="14">
                  <c:v>6273.0586853530467</c:v>
                </c:pt>
                <c:pt idx="15">
                  <c:v>8204.7437386185684</c:v>
                </c:pt>
                <c:pt idx="16">
                  <c:v>10381.700433624948</c:v>
                </c:pt>
                <c:pt idx="17">
                  <c:v>12708.797970821079</c:v>
                </c:pt>
                <c:pt idx="18">
                  <c:v>750.07183729033204</c:v>
                </c:pt>
                <c:pt idx="19">
                  <c:v>885.99682272861855</c:v>
                </c:pt>
                <c:pt idx="20">
                  <c:v>918.38648299910312</c:v>
                </c:pt>
                <c:pt idx="21">
                  <c:v>625.16132746302333</c:v>
                </c:pt>
                <c:pt idx="22">
                  <c:v>557.19538900908242</c:v>
                </c:pt>
                <c:pt idx="23">
                  <c:v>506.15301983702579</c:v>
                </c:pt>
                <c:pt idx="24">
                  <c:v>459.49845079557696</c:v>
                </c:pt>
              </c:numCache>
            </c:numRef>
          </c:val>
          <c:smooth val="0"/>
        </c:ser>
        <c:dLbls>
          <c:showLegendKey val="0"/>
          <c:showVal val="0"/>
          <c:showCatName val="0"/>
          <c:showSerName val="0"/>
          <c:showPercent val="0"/>
          <c:showBubbleSize val="0"/>
        </c:dLbls>
        <c:marker val="1"/>
        <c:smooth val="0"/>
        <c:axId val="234711680"/>
        <c:axId val="234722048"/>
      </c:lineChart>
      <c:lineChart>
        <c:grouping val="standard"/>
        <c:varyColors val="0"/>
        <c:ser>
          <c:idx val="1"/>
          <c:order val="0"/>
          <c:tx>
            <c:v>Varroa rate of increase</c:v>
          </c:tx>
          <c:spPr>
            <a:ln>
              <a:solidFill>
                <a:schemeClr val="tx1"/>
              </a:solidFill>
            </a:ln>
          </c:spPr>
          <c:marker>
            <c:symbol val="circle"/>
            <c:size val="6"/>
            <c:spPr>
              <a:solidFill>
                <a:schemeClr val="tx1"/>
              </a:solidFill>
              <a:ln>
                <a:noFill/>
              </a:ln>
            </c:spPr>
          </c:marker>
          <c:cat>
            <c:multiLvlStrRef>
              <c:f>#REF!</c:f>
            </c:multiLvlStrRef>
          </c:cat>
          <c:val>
            <c:numRef>
              <c:f>'Current version'!$BB$4:$BB$28</c:f>
              <c:numCache>
                <c:formatCode>0.000</c:formatCode>
                <c:ptCount val="25"/>
                <c:pt idx="0">
                  <c:v>-5.0125418235442759E-3</c:v>
                </c:pt>
                <c:pt idx="1">
                  <c:v>5.2233269783675549E-3</c:v>
                </c:pt>
                <c:pt idx="2">
                  <c:v>1.4156209170941484E-2</c:v>
                </c:pt>
                <c:pt idx="3">
                  <c:v>1.5990546388849801E-2</c:v>
                </c:pt>
                <c:pt idx="4">
                  <c:v>1.7582441983191453E-2</c:v>
                </c:pt>
                <c:pt idx="5">
                  <c:v>2.2253279019456E-2</c:v>
                </c:pt>
                <c:pt idx="6">
                  <c:v>2.9130793006311054E-2</c:v>
                </c:pt>
                <c:pt idx="7">
                  <c:v>2.9872335658562781E-2</c:v>
                </c:pt>
                <c:pt idx="8">
                  <c:v>2.9116138155455329E-2</c:v>
                </c:pt>
                <c:pt idx="9">
                  <c:v>2.700365626231933E-2</c:v>
                </c:pt>
                <c:pt idx="10">
                  <c:v>2.5073243018271293E-2</c:v>
                </c:pt>
                <c:pt idx="11">
                  <c:v>2.2389608447591421E-2</c:v>
                </c:pt>
                <c:pt idx="12">
                  <c:v>2.0828844404650004E-2</c:v>
                </c:pt>
                <c:pt idx="13">
                  <c:v>1.8535625562615839E-2</c:v>
                </c:pt>
                <c:pt idx="14">
                  <c:v>1.7651403446160448E-2</c:v>
                </c:pt>
                <c:pt idx="15">
                  <c:v>1.5473897482444781E-2</c:v>
                </c:pt>
                <c:pt idx="16">
                  <c:v>1.3298618606478295E-2</c:v>
                </c:pt>
                <c:pt idx="17">
                  <c:v>-0.18607435405245332</c:v>
                </c:pt>
                <c:pt idx="18">
                  <c:v>1.095086331066358E-2</c:v>
                </c:pt>
                <c:pt idx="19">
                  <c:v>2.3608729614009549E-3</c:v>
                </c:pt>
                <c:pt idx="20">
                  <c:v>-2.5289330439401018E-2</c:v>
                </c:pt>
                <c:pt idx="21">
                  <c:v>-7.5678097832135418E-3</c:v>
                </c:pt>
                <c:pt idx="22">
                  <c:v>-6.3173873271419444E-3</c:v>
                </c:pt>
                <c:pt idx="23">
                  <c:v>-6.3585839359549465E-3</c:v>
                </c:pt>
                <c:pt idx="24">
                  <c:v>-5.0143630213130364E-3</c:v>
                </c:pt>
              </c:numCache>
            </c:numRef>
          </c:val>
          <c:smooth val="0"/>
        </c:ser>
        <c:dLbls>
          <c:showLegendKey val="0"/>
          <c:showVal val="0"/>
          <c:showCatName val="0"/>
          <c:showSerName val="0"/>
          <c:showPercent val="0"/>
          <c:showBubbleSize val="0"/>
        </c:dLbls>
        <c:marker val="1"/>
        <c:smooth val="0"/>
        <c:axId val="234734336"/>
        <c:axId val="234723968"/>
      </c:lineChart>
      <c:dateAx>
        <c:axId val="234711680"/>
        <c:scaling>
          <c:orientation val="minMax"/>
        </c:scaling>
        <c:delete val="0"/>
        <c:axPos val="b"/>
        <c:numFmt formatCode="d\ mmm" sourceLinked="1"/>
        <c:majorTickMark val="out"/>
        <c:minorTickMark val="none"/>
        <c:tickLblPos val="nextTo"/>
        <c:txPr>
          <a:bodyPr rot="0" vert="horz"/>
          <a:lstStyle/>
          <a:p>
            <a:pPr>
              <a:defRPr/>
            </a:pPr>
            <a:endParaRPr lang="en-US"/>
          </a:p>
        </c:txPr>
        <c:crossAx val="234722048"/>
        <c:crosses val="autoZero"/>
        <c:auto val="1"/>
        <c:lblOffset val="100"/>
        <c:baseTimeUnit val="days"/>
      </c:dateAx>
      <c:valAx>
        <c:axId val="234722048"/>
        <c:scaling>
          <c:orientation val="minMax"/>
        </c:scaling>
        <c:delete val="0"/>
        <c:axPos val="l"/>
        <c:majorGridlines/>
        <c:title>
          <c:tx>
            <c:rich>
              <a:bodyPr rot="-5400000" vert="horz"/>
              <a:lstStyle/>
              <a:p>
                <a:pPr>
                  <a:defRPr sz="1200" b="0"/>
                </a:pPr>
                <a:r>
                  <a:rPr lang="en-US" sz="1200" b="0"/>
                  <a:t>Number of mites</a:t>
                </a:r>
              </a:p>
            </c:rich>
          </c:tx>
          <c:layout/>
          <c:overlay val="0"/>
        </c:title>
        <c:numFmt formatCode="#,##0" sourceLinked="1"/>
        <c:majorTickMark val="out"/>
        <c:minorTickMark val="none"/>
        <c:tickLblPos val="nextTo"/>
        <c:crossAx val="234711680"/>
        <c:crosses val="autoZero"/>
        <c:crossBetween val="midCat"/>
      </c:valAx>
      <c:valAx>
        <c:axId val="234723968"/>
        <c:scaling>
          <c:orientation val="minMax"/>
        </c:scaling>
        <c:delete val="0"/>
        <c:axPos val="r"/>
        <c:title>
          <c:tx>
            <c:rich>
              <a:bodyPr rot="-5400000" vert="horz"/>
              <a:lstStyle/>
              <a:p>
                <a:pPr>
                  <a:defRPr sz="1200" b="0"/>
                </a:pPr>
                <a:r>
                  <a:rPr lang="en-US" sz="1200" b="0"/>
                  <a:t>Daily rate of increase</a:t>
                </a:r>
              </a:p>
            </c:rich>
          </c:tx>
          <c:layout/>
          <c:overlay val="0"/>
        </c:title>
        <c:numFmt formatCode="0.000" sourceLinked="1"/>
        <c:majorTickMark val="out"/>
        <c:minorTickMark val="none"/>
        <c:tickLblPos val="nextTo"/>
        <c:crossAx val="234734336"/>
        <c:crosses val="max"/>
        <c:crossBetween val="between"/>
      </c:valAx>
      <c:catAx>
        <c:axId val="234734336"/>
        <c:scaling>
          <c:orientation val="minMax"/>
        </c:scaling>
        <c:delete val="1"/>
        <c:axPos val="b"/>
        <c:numFmt formatCode="[$-409]d\-mmm;@" sourceLinked="1"/>
        <c:majorTickMark val="out"/>
        <c:minorTickMark val="none"/>
        <c:tickLblPos val="none"/>
        <c:crossAx val="234723968"/>
        <c:crosses val="autoZero"/>
        <c:auto val="1"/>
        <c:lblAlgn val="ctr"/>
        <c:lblOffset val="100"/>
        <c:noMultiLvlLbl val="1"/>
      </c:catAx>
    </c:plotArea>
    <c:legend>
      <c:legendPos val="r"/>
      <c:layout>
        <c:manualLayout>
          <c:xMode val="edge"/>
          <c:yMode val="edge"/>
          <c:x val="0.29176259261948018"/>
          <c:y val="0.49600406667054864"/>
          <c:w val="0.23521057537213991"/>
          <c:h val="0.10169023208671259"/>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1751742301969"/>
          <c:y val="4.3667727374786122E-2"/>
          <c:w val="0.77464173422335103"/>
          <c:h val="0.85664022664122819"/>
        </c:manualLayout>
      </c:layout>
      <c:areaChart>
        <c:grouping val="standard"/>
        <c:varyColors val="0"/>
        <c:ser>
          <c:idx val="1"/>
          <c:order val="0"/>
          <c:tx>
            <c:v>Adult bee pop</c:v>
          </c:tx>
          <c:spPr>
            <a:solidFill>
              <a:srgbClr val="FFE593"/>
            </a:solidFill>
            <a:ln>
              <a:solidFill>
                <a:srgbClr val="FFC000"/>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version'!$BQ$4:$BQ$28</c:f>
              <c:numCache>
                <c:formatCode>General</c:formatCode>
                <c:ptCount val="25"/>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pt idx="24">
                  <c:v>16000</c:v>
                </c:pt>
              </c:numCache>
            </c:numRef>
          </c:val>
        </c:ser>
        <c:ser>
          <c:idx val="2"/>
          <c:order val="2"/>
          <c:tx>
            <c:v>Total pupae</c:v>
          </c:tx>
          <c:spPr>
            <a:solidFill>
              <a:srgbClr val="FFC000"/>
            </a:solidFill>
            <a:ln w="12700">
              <a:solidFill>
                <a:schemeClr val="accent6"/>
              </a:solidFill>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version'!$BU$4:$BU$28</c:f>
              <c:numCache>
                <c:formatCode>General</c:formatCode>
                <c:ptCount val="25"/>
                <c:pt idx="0">
                  <c:v>0.6</c:v>
                </c:pt>
                <c:pt idx="1">
                  <c:v>675</c:v>
                </c:pt>
                <c:pt idx="2">
                  <c:v>891</c:v>
                </c:pt>
                <c:pt idx="3">
                  <c:v>2025</c:v>
                </c:pt>
                <c:pt idx="4">
                  <c:v>2700</c:v>
                </c:pt>
                <c:pt idx="5">
                  <c:v>5400</c:v>
                </c:pt>
                <c:pt idx="6">
                  <c:v>8100</c:v>
                </c:pt>
                <c:pt idx="7">
                  <c:v>13500</c:v>
                </c:pt>
                <c:pt idx="8">
                  <c:v>16200</c:v>
                </c:pt>
                <c:pt idx="9">
                  <c:v>17550</c:v>
                </c:pt>
                <c:pt idx="10">
                  <c:v>18900</c:v>
                </c:pt>
                <c:pt idx="11">
                  <c:v>17550</c:v>
                </c:pt>
                <c:pt idx="12">
                  <c:v>16200</c:v>
                </c:pt>
                <c:pt idx="13">
                  <c:v>13500</c:v>
                </c:pt>
                <c:pt idx="14">
                  <c:v>12150</c:v>
                </c:pt>
                <c:pt idx="15">
                  <c:v>10800</c:v>
                </c:pt>
                <c:pt idx="16">
                  <c:v>9450</c:v>
                </c:pt>
                <c:pt idx="17">
                  <c:v>10800</c:v>
                </c:pt>
                <c:pt idx="18">
                  <c:v>5400</c:v>
                </c:pt>
                <c:pt idx="19">
                  <c:v>1350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version'!$BV$4:$BV$28</c:f>
              <c:numCache>
                <c:formatCode>0</c:formatCode>
                <c:ptCount val="25"/>
                <c:pt idx="0">
                  <c:v>0</c:v>
                </c:pt>
                <c:pt idx="1">
                  <c:v>35.747175646525996</c:v>
                </c:pt>
                <c:pt idx="2">
                  <c:v>40.716517047775838</c:v>
                </c:pt>
                <c:pt idx="3">
                  <c:v>60.9809465685221</c:v>
                </c:pt>
                <c:pt idx="4">
                  <c:v>82.681464489428109</c:v>
                </c:pt>
                <c:pt idx="5">
                  <c:v>133.25451009100871</c:v>
                </c:pt>
                <c:pt idx="6">
                  <c:v>193.64545055887334</c:v>
                </c:pt>
                <c:pt idx="7">
                  <c:v>295.30404480109866</c:v>
                </c:pt>
                <c:pt idx="8">
                  <c:v>444.0548992511184</c:v>
                </c:pt>
                <c:pt idx="9">
                  <c:v>641.94574648885691</c:v>
                </c:pt>
                <c:pt idx="10">
                  <c:v>947.72438028959118</c:v>
                </c:pt>
                <c:pt idx="11">
                  <c:v>1291.2024064274724</c:v>
                </c:pt>
                <c:pt idx="12">
                  <c:v>1708.9772769223123</c:v>
                </c:pt>
                <c:pt idx="13">
                  <c:v>2154.5864678570797</c:v>
                </c:pt>
                <c:pt idx="14">
                  <c:v>2686.0417160549705</c:v>
                </c:pt>
                <c:pt idx="15">
                  <c:v>3328.7145125681291</c:v>
                </c:pt>
                <c:pt idx="16">
                  <c:v>4179.9855389682971</c:v>
                </c:pt>
                <c:pt idx="17">
                  <c:v>5293.267343720473</c:v>
                </c:pt>
                <c:pt idx="18">
                  <c:v>377.18376093460051</c:v>
                </c:pt>
                <c:pt idx="19">
                  <c:v>322.6460064347109</c:v>
                </c:pt>
                <c:pt idx="20">
                  <c:v>0</c:v>
                </c:pt>
                <c:pt idx="21">
                  <c:v>0</c:v>
                </c:pt>
                <c:pt idx="22">
                  <c:v>0</c:v>
                </c:pt>
                <c:pt idx="23">
                  <c:v>0</c:v>
                </c:pt>
                <c:pt idx="24">
                  <c:v>0</c:v>
                </c:pt>
              </c:numCache>
            </c:numRef>
          </c:val>
        </c:ser>
        <c:dLbls>
          <c:showLegendKey val="0"/>
          <c:showVal val="0"/>
          <c:showCatName val="0"/>
          <c:showSerName val="0"/>
          <c:showPercent val="0"/>
          <c:showBubbleSize val="0"/>
        </c:dLbls>
        <c:axId val="255684992"/>
        <c:axId val="255686528"/>
      </c:areaChart>
      <c:areaChart>
        <c:grouping val="standard"/>
        <c:varyColors val="0"/>
        <c:ser>
          <c:idx val="9"/>
          <c:order val="9"/>
          <c:tx>
            <c:v>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ser>
          <c:idx val="10"/>
          <c:order val="10"/>
          <c:tx>
            <c:v>Winter crash</c:v>
          </c:tx>
          <c:spPr>
            <a:solidFill>
              <a:srgbClr val="FF0000"/>
            </a:solidFill>
          </c:spP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version'!$EA$4:$EA$28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axId val="255690624"/>
        <c:axId val="255688704"/>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0.10456963698887521"/>
                  <c:y val="2.2789636995775547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0.80249149630187566"/>
                  <c:y val="3.4184455493663314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version'!$BA$4:$BA$28</c:f>
              <c:numCache>
                <c:formatCode>#,##0</c:formatCode>
                <c:ptCount val="25"/>
                <c:pt idx="0">
                  <c:v>100</c:v>
                </c:pt>
                <c:pt idx="1">
                  <c:v>92.660083310629844</c:v>
                </c:pt>
                <c:pt idx="2">
                  <c:v>100.32108346182575</c:v>
                </c:pt>
                <c:pt idx="3">
                  <c:v>124.42065763678137</c:v>
                </c:pt>
                <c:pt idx="4">
                  <c:v>158.6749522648</c:v>
                </c:pt>
                <c:pt idx="5">
                  <c:v>207.31874147378301</c:v>
                </c:pt>
                <c:pt idx="6">
                  <c:v>290.81656510245006</c:v>
                </c:pt>
                <c:pt idx="7">
                  <c:v>452.92362735867829</c:v>
                </c:pt>
                <c:pt idx="8">
                  <c:v>713.39264021710289</c:v>
                </c:pt>
                <c:pt idx="9">
                  <c:v>1110.8045936095737</c:v>
                </c:pt>
                <c:pt idx="10">
                  <c:v>1674.9196894065412</c:v>
                </c:pt>
                <c:pt idx="11">
                  <c:v>2452.4498287807787</c:v>
                </c:pt>
                <c:pt idx="12">
                  <c:v>3447.3164353810098</c:v>
                </c:pt>
                <c:pt idx="13">
                  <c:v>4732.0953322384485</c:v>
                </c:pt>
                <c:pt idx="14">
                  <c:v>6273.0586853530467</c:v>
                </c:pt>
                <c:pt idx="15">
                  <c:v>8204.7437386185684</c:v>
                </c:pt>
                <c:pt idx="16">
                  <c:v>10381.700433624948</c:v>
                </c:pt>
                <c:pt idx="17">
                  <c:v>12708.797970821079</c:v>
                </c:pt>
                <c:pt idx="18">
                  <c:v>750.07183729033204</c:v>
                </c:pt>
                <c:pt idx="19">
                  <c:v>885.99682272861855</c:v>
                </c:pt>
                <c:pt idx="20">
                  <c:v>918.38648299910312</c:v>
                </c:pt>
                <c:pt idx="21">
                  <c:v>625.16132746302333</c:v>
                </c:pt>
                <c:pt idx="22">
                  <c:v>557.19538900908242</c:v>
                </c:pt>
                <c:pt idx="23">
                  <c:v>506.15301983702579</c:v>
                </c:pt>
                <c:pt idx="24">
                  <c:v>459.49845079557696</c:v>
                </c:pt>
              </c:numCache>
            </c:numRef>
          </c:val>
          <c:smooth val="0"/>
        </c:ser>
        <c:ser>
          <c:idx val="7"/>
          <c:order val="7"/>
          <c:tx>
            <c:v>Mite immigration</c:v>
          </c:tx>
          <c:spPr>
            <a:ln>
              <a:noFill/>
              <a:prstDash val="sysDot"/>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version'!$DL$4:$DL$28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55684992"/>
        <c:axId val="255686528"/>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version'!$BD$4:$BD$28</c:f>
              <c:numCache>
                <c:formatCode>0</c:formatCode>
                <c:ptCount val="25"/>
                <c:pt idx="0">
                  <c:v>1.96875</c:v>
                </c:pt>
                <c:pt idx="1">
                  <c:v>1.1011521708318264</c:v>
                </c:pt>
                <c:pt idx="2">
                  <c:v>1.1545713362615053</c:v>
                </c:pt>
                <c:pt idx="3">
                  <c:v>1.4063098328231911</c:v>
                </c:pt>
                <c:pt idx="4">
                  <c:v>1.6807740031481844</c:v>
                </c:pt>
                <c:pt idx="5">
                  <c:v>1.9003038528389429</c:v>
                </c:pt>
                <c:pt idx="6">
                  <c:v>2.0519017750375212</c:v>
                </c:pt>
                <c:pt idx="7">
                  <c:v>1.9211418866832297</c:v>
                </c:pt>
                <c:pt idx="8">
                  <c:v>2.5421262399682134</c:v>
                </c:pt>
                <c:pt idx="9">
                  <c:v>3.4912793048926494</c:v>
                </c:pt>
                <c:pt idx="10">
                  <c:v>4.5960715348805854</c:v>
                </c:pt>
                <c:pt idx="11">
                  <c:v>6.4926798782512529</c:v>
                </c:pt>
                <c:pt idx="12">
                  <c:v>8.9650869643731266</c:v>
                </c:pt>
                <c:pt idx="13">
                  <c:v>12.770602339536904</c:v>
                </c:pt>
                <c:pt idx="14">
                  <c:v>17.482269794579789</c:v>
                </c:pt>
                <c:pt idx="15">
                  <c:v>25.907021786597031</c:v>
                </c:pt>
                <c:pt idx="16">
                  <c:v>37.809950683946809</c:v>
                </c:pt>
                <c:pt idx="17">
                  <c:v>49.575727014076882</c:v>
                </c:pt>
                <c:pt idx="18">
                  <c:v>3.7702108613275152</c:v>
                </c:pt>
                <c:pt idx="19">
                  <c:v>6.7893981355199688</c:v>
                </c:pt>
                <c:pt idx="20">
                  <c:v>16.071763452484305</c:v>
                </c:pt>
                <c:pt idx="21">
                  <c:v>11.583871655932491</c:v>
                </c:pt>
                <c:pt idx="22">
                  <c:v>10.637366517446118</c:v>
                </c:pt>
                <c:pt idx="23">
                  <c:v>9.964887578041445</c:v>
                </c:pt>
                <c:pt idx="24">
                  <c:v>9.0463757500379209</c:v>
                </c:pt>
              </c:numCache>
            </c:numRef>
          </c:val>
          <c:smooth val="0"/>
        </c:ser>
        <c:ser>
          <c:idx val="4"/>
          <c:order val="5"/>
          <c:tx>
            <c:v>U.S. average wash</c:v>
          </c:tx>
          <c:spPr>
            <a:ln w="25400">
              <a:noFill/>
              <a:prstDash val="dash"/>
            </a:ln>
          </c:spPr>
          <c:marker>
            <c:symbol val="none"/>
          </c:marker>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version'!$ES$4:$ES$27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version'!$AY$4:$AY$28</c:f>
              <c:numCache>
                <c:formatCode>General</c:formatCode>
                <c:ptCount val="25"/>
              </c:numCache>
            </c:numRef>
          </c:val>
          <c:smooth val="0"/>
        </c:ser>
        <c:ser>
          <c:idx val="8"/>
          <c:order val="8"/>
          <c:tx>
            <c:v>r value</c:v>
          </c:tx>
          <c:cat>
            <c:numRef>
              <c:f>'Current version'!$BO$4:$BO$28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'Current version'!$AW$24</c:f>
              <c:numCache>
                <c:formatCode>0.000</c:formatCode>
                <c:ptCount val="1"/>
                <c:pt idx="0">
                  <c:v>2.1792982143589483E-2</c:v>
                </c:pt>
              </c:numCache>
            </c:numRef>
          </c:val>
          <c:smooth val="0"/>
        </c:ser>
        <c:dLbls>
          <c:showLegendKey val="0"/>
          <c:showVal val="0"/>
          <c:showCatName val="0"/>
          <c:showSerName val="0"/>
          <c:showPercent val="0"/>
          <c:showBubbleSize val="0"/>
        </c:dLbls>
        <c:marker val="1"/>
        <c:smooth val="0"/>
        <c:axId val="255690624"/>
        <c:axId val="255688704"/>
      </c:lineChart>
      <c:dateAx>
        <c:axId val="255684992"/>
        <c:scaling>
          <c:orientation val="minMax"/>
        </c:scaling>
        <c:delete val="0"/>
        <c:axPos val="b"/>
        <c:numFmt formatCode="[$-409]d\-mmm;@" sourceLinked="1"/>
        <c:majorTickMark val="out"/>
        <c:minorTickMark val="none"/>
        <c:tickLblPos val="nextTo"/>
        <c:crossAx val="255686528"/>
        <c:crosses val="autoZero"/>
        <c:auto val="1"/>
        <c:lblOffset val="100"/>
        <c:baseTimeUnit val="days"/>
        <c:majorUnit val="1"/>
        <c:majorTimeUnit val="months"/>
        <c:minorUnit val="1"/>
        <c:minorTimeUnit val="months"/>
      </c:dateAx>
      <c:valAx>
        <c:axId val="255686528"/>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1.3312274624607689E-2"/>
              <c:y val="2.1617088089280985E-2"/>
            </c:manualLayout>
          </c:layout>
          <c:overlay val="0"/>
        </c:title>
        <c:numFmt formatCode="#,##0" sourceLinked="0"/>
        <c:majorTickMark val="out"/>
        <c:minorTickMark val="none"/>
        <c:tickLblPos val="nextTo"/>
        <c:txPr>
          <a:bodyPr/>
          <a:lstStyle/>
          <a:p>
            <a:pPr>
              <a:defRPr sz="800"/>
            </a:pPr>
            <a:endParaRPr lang="en-US"/>
          </a:p>
        </c:txPr>
        <c:crossAx val="255684992"/>
        <c:crossesAt val="40544"/>
        <c:crossBetween val="midCat"/>
      </c:valAx>
      <c:valAx>
        <c:axId val="255688704"/>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945366880602422"/>
              <c:y val="0.1681017235782178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55690624"/>
        <c:crosses val="max"/>
        <c:crossBetween val="between"/>
      </c:valAx>
      <c:dateAx>
        <c:axId val="255690624"/>
        <c:scaling>
          <c:orientation val="minMax"/>
        </c:scaling>
        <c:delete val="1"/>
        <c:axPos val="b"/>
        <c:numFmt formatCode="[$-409]d\-mmm;@" sourceLinked="1"/>
        <c:majorTickMark val="out"/>
        <c:minorTickMark val="none"/>
        <c:tickLblPos val="none"/>
        <c:crossAx val="255688704"/>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0.11786102598671905"/>
          <c:y val="5.0022794769701416E-2"/>
          <c:w val="0.2484079129035453"/>
          <c:h val="0.4023186686662884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Mite buildup vs. </a:t>
            </a:r>
            <a:r>
              <a:rPr lang="en-US" baseline="0"/>
              <a:t>starting count </a:t>
            </a:r>
            <a:r>
              <a:rPr lang="en-US" sz="1600" b="0" baseline="0"/>
              <a:t>(r = 0.021)</a:t>
            </a:r>
            <a:endParaRPr lang="en-US" sz="1600" b="0"/>
          </a:p>
        </c:rich>
      </c:tx>
      <c:layout>
        <c:manualLayout>
          <c:xMode val="edge"/>
          <c:yMode val="edge"/>
          <c:x val="0.21790706738146315"/>
          <c:y val="0"/>
        </c:manualLayout>
      </c:layout>
      <c:overlay val="0"/>
    </c:title>
    <c:autoTitleDeleted val="0"/>
    <c:plotArea>
      <c:layout>
        <c:manualLayout>
          <c:layoutTarget val="inner"/>
          <c:xMode val="edge"/>
          <c:yMode val="edge"/>
          <c:x val="0.16841020494215417"/>
          <c:y val="9.8857211506771236E-2"/>
          <c:w val="0.57584383542602979"/>
          <c:h val="0.73076771653543315"/>
        </c:manualLayout>
      </c:layout>
      <c:lineChart>
        <c:grouping val="standard"/>
        <c:varyColors val="0"/>
        <c:ser>
          <c:idx val="4"/>
          <c:order val="0"/>
          <c:tx>
            <c:strRef>
              <c:f>'Starting level'!$H$3</c:f>
              <c:strCache>
                <c:ptCount val="1"/>
                <c:pt idx="0">
                  <c:v>150 mites</c:v>
                </c:pt>
              </c:strCache>
            </c:strRef>
          </c:tx>
          <c:spPr>
            <a:ln w="50800">
              <a:solidFill>
                <a:srgbClr val="E60000"/>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level'!$H$4:$H$11</c:f>
              <c:numCache>
                <c:formatCode>0</c:formatCode>
                <c:ptCount val="8"/>
                <c:pt idx="0" formatCode="General">
                  <c:v>150</c:v>
                </c:pt>
                <c:pt idx="1">
                  <c:v>281.64158688965148</c:v>
                </c:pt>
                <c:pt idx="2">
                  <c:v>528.81322310480732</c:v>
                </c:pt>
                <c:pt idx="3">
                  <c:v>992.90530215646163</c:v>
                </c:pt>
                <c:pt idx="4">
                  <c:v>1864.2894995366316</c:v>
                </c:pt>
                <c:pt idx="5">
                  <c:v>3500.4096871414072</c:v>
                </c:pt>
                <c:pt idx="6">
                  <c:v>6572.4062603360953</c:v>
                </c:pt>
                <c:pt idx="7">
                  <c:v>12340.419525630252</c:v>
                </c:pt>
              </c:numCache>
            </c:numRef>
          </c:val>
          <c:smooth val="1"/>
        </c:ser>
        <c:ser>
          <c:idx val="3"/>
          <c:order val="1"/>
          <c:tx>
            <c:strRef>
              <c:f>'Starting level'!$G$3</c:f>
              <c:strCache>
                <c:ptCount val="1"/>
                <c:pt idx="0">
                  <c:v>100 mites</c:v>
                </c:pt>
              </c:strCache>
            </c:strRef>
          </c:tx>
          <c:spPr>
            <a:ln w="47625">
              <a:solidFill>
                <a:srgbClr val="FF4747"/>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level'!$G$4:$G$11</c:f>
              <c:numCache>
                <c:formatCode>0</c:formatCode>
                <c:ptCount val="8"/>
                <c:pt idx="0" formatCode="General">
                  <c:v>100</c:v>
                </c:pt>
                <c:pt idx="1">
                  <c:v>187.76105792643432</c:v>
                </c:pt>
                <c:pt idx="2">
                  <c:v>352.54214873653825</c:v>
                </c:pt>
                <c:pt idx="3">
                  <c:v>661.93686810430779</c:v>
                </c:pt>
                <c:pt idx="4">
                  <c:v>1242.8596663577546</c:v>
                </c:pt>
                <c:pt idx="5">
                  <c:v>2333.6064580942721</c:v>
                </c:pt>
                <c:pt idx="6">
                  <c:v>4381.6041735573981</c:v>
                </c:pt>
                <c:pt idx="7">
                  <c:v>8226.9463504201703</c:v>
                </c:pt>
              </c:numCache>
            </c:numRef>
          </c:val>
          <c:smooth val="1"/>
        </c:ser>
        <c:ser>
          <c:idx val="2"/>
          <c:order val="2"/>
          <c:tx>
            <c:strRef>
              <c:f>'Starting level'!$F$3</c:f>
              <c:strCache>
                <c:ptCount val="1"/>
                <c:pt idx="0">
                  <c:v>50 mites</c:v>
                </c:pt>
              </c:strCache>
            </c:strRef>
          </c:tx>
          <c:spPr>
            <a:ln w="44450">
              <a:solidFill>
                <a:srgbClr val="FF7979"/>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level'!$F$4:$F$11</c:f>
              <c:numCache>
                <c:formatCode>0</c:formatCode>
                <c:ptCount val="8"/>
                <c:pt idx="0" formatCode="General">
                  <c:v>50</c:v>
                </c:pt>
                <c:pt idx="1">
                  <c:v>93.880528963217159</c:v>
                </c:pt>
                <c:pt idx="2">
                  <c:v>176.27107436826913</c:v>
                </c:pt>
                <c:pt idx="3">
                  <c:v>330.9684340521539</c:v>
                </c:pt>
                <c:pt idx="4">
                  <c:v>621.42983317887729</c:v>
                </c:pt>
                <c:pt idx="5">
                  <c:v>1166.803229047136</c:v>
                </c:pt>
                <c:pt idx="6">
                  <c:v>2190.802086778699</c:v>
                </c:pt>
                <c:pt idx="7">
                  <c:v>4113.4731752100852</c:v>
                </c:pt>
              </c:numCache>
            </c:numRef>
          </c:val>
          <c:smooth val="1"/>
        </c:ser>
        <c:ser>
          <c:idx val="1"/>
          <c:order val="3"/>
          <c:tx>
            <c:strRef>
              <c:f>'Starting level'!$E$3</c:f>
              <c:strCache>
                <c:ptCount val="1"/>
                <c:pt idx="0">
                  <c:v>25 mites</c:v>
                </c:pt>
              </c:strCache>
            </c:strRef>
          </c:tx>
          <c:spPr>
            <a:ln w="41275">
              <a:solidFill>
                <a:srgbClr val="FFA3A3"/>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level'!$E$4:$E$11</c:f>
              <c:numCache>
                <c:formatCode>0</c:formatCode>
                <c:ptCount val="8"/>
                <c:pt idx="0" formatCode="General">
                  <c:v>25</c:v>
                </c:pt>
                <c:pt idx="1">
                  <c:v>46.94026448160858</c:v>
                </c:pt>
                <c:pt idx="2">
                  <c:v>88.135537184134563</c:v>
                </c:pt>
                <c:pt idx="3">
                  <c:v>165.48421702607695</c:v>
                </c:pt>
                <c:pt idx="4">
                  <c:v>310.71491658943864</c:v>
                </c:pt>
                <c:pt idx="5">
                  <c:v>583.40161452356801</c:v>
                </c:pt>
                <c:pt idx="6">
                  <c:v>1095.4010433893495</c:v>
                </c:pt>
                <c:pt idx="7">
                  <c:v>2056.7365876050426</c:v>
                </c:pt>
              </c:numCache>
            </c:numRef>
          </c:val>
          <c:smooth val="1"/>
        </c:ser>
        <c:ser>
          <c:idx val="0"/>
          <c:order val="4"/>
          <c:tx>
            <c:strRef>
              <c:f>'Starting level'!$D$3</c:f>
              <c:strCache>
                <c:ptCount val="1"/>
                <c:pt idx="0">
                  <c:v>10 mites</c:v>
                </c:pt>
              </c:strCache>
            </c:strRef>
          </c:tx>
          <c:spPr>
            <a:ln w="38100">
              <a:solidFill>
                <a:srgbClr val="FFC1C1"/>
              </a:solidFill>
            </a:ln>
          </c:spPr>
          <c:marker>
            <c:symbol val="none"/>
          </c:marker>
          <c:cat>
            <c:numRef>
              <c:f>'Starting level'!$B$4:$B$11</c:f>
              <c:numCache>
                <c:formatCode>General</c:formatCode>
                <c:ptCount val="8"/>
                <c:pt idx="0">
                  <c:v>0</c:v>
                </c:pt>
                <c:pt idx="1">
                  <c:v>1</c:v>
                </c:pt>
                <c:pt idx="2">
                  <c:v>2</c:v>
                </c:pt>
                <c:pt idx="3">
                  <c:v>3</c:v>
                </c:pt>
                <c:pt idx="4">
                  <c:v>4</c:v>
                </c:pt>
                <c:pt idx="5">
                  <c:v>5</c:v>
                </c:pt>
                <c:pt idx="6">
                  <c:v>6</c:v>
                </c:pt>
                <c:pt idx="7">
                  <c:v>7</c:v>
                </c:pt>
              </c:numCache>
            </c:numRef>
          </c:cat>
          <c:val>
            <c:numRef>
              <c:f>'Starting level'!$D$4:$D$11</c:f>
              <c:numCache>
                <c:formatCode>0</c:formatCode>
                <c:ptCount val="8"/>
                <c:pt idx="0" formatCode="General">
                  <c:v>10</c:v>
                </c:pt>
                <c:pt idx="1">
                  <c:v>18.776105792643431</c:v>
                </c:pt>
                <c:pt idx="2">
                  <c:v>35.254214873653822</c:v>
                </c:pt>
                <c:pt idx="3">
                  <c:v>66.193686810430776</c:v>
                </c:pt>
                <c:pt idx="4">
                  <c:v>124.28596663577544</c:v>
                </c:pt>
                <c:pt idx="5">
                  <c:v>233.36064580942715</c:v>
                </c:pt>
                <c:pt idx="6">
                  <c:v>438.16041735573975</c:v>
                </c:pt>
                <c:pt idx="7">
                  <c:v>822.6946350420169</c:v>
                </c:pt>
              </c:numCache>
            </c:numRef>
          </c:val>
          <c:smooth val="1"/>
        </c:ser>
        <c:dLbls>
          <c:showLegendKey val="0"/>
          <c:showVal val="0"/>
          <c:showCatName val="0"/>
          <c:showSerName val="0"/>
          <c:showPercent val="0"/>
          <c:showBubbleSize val="0"/>
        </c:dLbls>
        <c:marker val="1"/>
        <c:smooth val="0"/>
        <c:axId val="255181184"/>
        <c:axId val="255183104"/>
      </c:lineChart>
      <c:catAx>
        <c:axId val="255181184"/>
        <c:scaling>
          <c:orientation val="minMax"/>
        </c:scaling>
        <c:delete val="0"/>
        <c:axPos val="b"/>
        <c:title>
          <c:tx>
            <c:rich>
              <a:bodyPr/>
              <a:lstStyle/>
              <a:p>
                <a:pPr>
                  <a:defRPr/>
                </a:pPr>
                <a:r>
                  <a:rPr lang="en-US" sz="1400"/>
                  <a:t>Months</a:t>
                </a:r>
              </a:p>
            </c:rich>
          </c:tx>
          <c:layout/>
          <c:overlay val="0"/>
        </c:title>
        <c:numFmt formatCode="General" sourceLinked="1"/>
        <c:majorTickMark val="out"/>
        <c:minorTickMark val="none"/>
        <c:tickLblPos val="nextTo"/>
        <c:txPr>
          <a:bodyPr/>
          <a:lstStyle/>
          <a:p>
            <a:pPr>
              <a:defRPr sz="1400"/>
            </a:pPr>
            <a:endParaRPr lang="en-US"/>
          </a:p>
        </c:txPr>
        <c:crossAx val="255183104"/>
        <c:crosses val="autoZero"/>
        <c:auto val="1"/>
        <c:lblAlgn val="ctr"/>
        <c:lblOffset val="100"/>
        <c:noMultiLvlLbl val="0"/>
      </c:catAx>
      <c:valAx>
        <c:axId val="255183104"/>
        <c:scaling>
          <c:orientation val="minMax"/>
          <c:max val="12000"/>
        </c:scaling>
        <c:delete val="0"/>
        <c:axPos val="l"/>
        <c:majorGridlines/>
        <c:title>
          <c:tx>
            <c:rich>
              <a:bodyPr rot="-5400000" vert="horz"/>
              <a:lstStyle/>
              <a:p>
                <a:pPr>
                  <a:defRPr/>
                </a:pPr>
                <a:r>
                  <a:rPr lang="en-US" sz="1400"/>
                  <a:t>Mite population</a:t>
                </a:r>
              </a:p>
            </c:rich>
          </c:tx>
          <c:layout/>
          <c:overlay val="0"/>
        </c:title>
        <c:numFmt formatCode="#,##0" sourceLinked="0"/>
        <c:majorTickMark val="out"/>
        <c:minorTickMark val="none"/>
        <c:tickLblPos val="nextTo"/>
        <c:txPr>
          <a:bodyPr/>
          <a:lstStyle/>
          <a:p>
            <a:pPr>
              <a:defRPr sz="1400"/>
            </a:pPr>
            <a:endParaRPr lang="en-US"/>
          </a:p>
        </c:txPr>
        <c:crossAx val="255181184"/>
        <c:crosses val="autoZero"/>
        <c:crossBetween val="midCat"/>
      </c:valAx>
    </c:plotArea>
    <c:legend>
      <c:legendPos val="r"/>
      <c:layout>
        <c:manualLayout>
          <c:xMode val="edge"/>
          <c:yMode val="edge"/>
          <c:x val="0.78613866024813261"/>
          <c:y val="0.32651999693810513"/>
          <c:w val="0.18600389467745587"/>
          <c:h val="0.38681806390429901"/>
        </c:manualLayout>
      </c:layout>
      <c:overlay val="0"/>
      <c:txPr>
        <a:bodyPr/>
        <a:lstStyle/>
        <a:p>
          <a:pPr>
            <a:defRPr sz="1400"/>
          </a:pPr>
          <a:endParaRPr lang="en-US"/>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98728223853254E-2"/>
          <c:y val="3.2299938581372249E-2"/>
          <c:w val="0.82397205929615935"/>
          <c:h val="0.89014335685699442"/>
        </c:manualLayout>
      </c:layout>
      <c:areaChart>
        <c:grouping val="standard"/>
        <c:varyColors val="0"/>
        <c:ser>
          <c:idx val="1"/>
          <c:order val="0"/>
          <c:tx>
            <c:v>Adult bee pop</c:v>
          </c:tx>
          <c:spPr>
            <a:solidFill>
              <a:srgbClr val="FFE593"/>
            </a:solidFill>
            <a:ln>
              <a:solidFill>
                <a:srgbClr val="FFC000"/>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break'!$BR$4:$BR$28</c:f>
              <c:numCache>
                <c:formatCode>General</c:formatCode>
                <c:ptCount val="25"/>
                <c:pt idx="0">
                  <c:v>16000</c:v>
                </c:pt>
                <c:pt idx="1">
                  <c:v>16000</c:v>
                </c:pt>
                <c:pt idx="2">
                  <c:v>16000</c:v>
                </c:pt>
                <c:pt idx="3">
                  <c:v>16000</c:v>
                </c:pt>
                <c:pt idx="4">
                  <c:v>14000</c:v>
                </c:pt>
                <c:pt idx="5">
                  <c:v>12000</c:v>
                </c:pt>
                <c:pt idx="6">
                  <c:v>12000</c:v>
                </c:pt>
                <c:pt idx="7">
                  <c:v>12000</c:v>
                </c:pt>
                <c:pt idx="8">
                  <c:v>20000</c:v>
                </c:pt>
                <c:pt idx="9">
                  <c:v>28000</c:v>
                </c:pt>
                <c:pt idx="10">
                  <c:v>40000</c:v>
                </c:pt>
                <c:pt idx="11">
                  <c:v>48000</c:v>
                </c:pt>
                <c:pt idx="12">
                  <c:v>52000</c:v>
                </c:pt>
                <c:pt idx="13">
                  <c:v>52000</c:v>
                </c:pt>
                <c:pt idx="14">
                  <c:v>50000</c:v>
                </c:pt>
                <c:pt idx="15">
                  <c:v>40000</c:v>
                </c:pt>
                <c:pt idx="16">
                  <c:v>28000</c:v>
                </c:pt>
                <c:pt idx="17">
                  <c:v>24000</c:v>
                </c:pt>
                <c:pt idx="18">
                  <c:v>20000</c:v>
                </c:pt>
                <c:pt idx="19">
                  <c:v>18000</c:v>
                </c:pt>
                <c:pt idx="20">
                  <c:v>16000</c:v>
                </c:pt>
                <c:pt idx="21">
                  <c:v>16000</c:v>
                </c:pt>
                <c:pt idx="22">
                  <c:v>16000</c:v>
                </c:pt>
                <c:pt idx="23">
                  <c:v>16000</c:v>
                </c:pt>
                <c:pt idx="24">
                  <c:v>16000</c:v>
                </c:pt>
              </c:numCache>
            </c:numRef>
          </c:val>
        </c:ser>
        <c:ser>
          <c:idx val="2"/>
          <c:order val="2"/>
          <c:tx>
            <c:v>Total pupae</c:v>
          </c:tx>
          <c:spPr>
            <a:solidFill>
              <a:srgbClr val="FFC000"/>
            </a:solidFill>
            <a:ln w="12700">
              <a:solidFill>
                <a:schemeClr val="accent6"/>
              </a:solidFill>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break'!$BV$4:$BV$28</c:f>
              <c:numCache>
                <c:formatCode>General</c:formatCode>
                <c:ptCount val="25"/>
                <c:pt idx="0">
                  <c:v>116.09999999999998</c:v>
                </c:pt>
                <c:pt idx="1">
                  <c:v>116.09999999999998</c:v>
                </c:pt>
                <c:pt idx="2">
                  <c:v>116.09999999999998</c:v>
                </c:pt>
                <c:pt idx="3">
                  <c:v>116.09999999999998</c:v>
                </c:pt>
                <c:pt idx="4">
                  <c:v>116.09999999999998</c:v>
                </c:pt>
                <c:pt idx="5">
                  <c:v>1350</c:v>
                </c:pt>
                <c:pt idx="6">
                  <c:v>2700</c:v>
                </c:pt>
                <c:pt idx="7">
                  <c:v>13500</c:v>
                </c:pt>
                <c:pt idx="8">
                  <c:v>18900</c:v>
                </c:pt>
                <c:pt idx="9">
                  <c:v>18900</c:v>
                </c:pt>
                <c:pt idx="10">
                  <c:v>21600</c:v>
                </c:pt>
                <c:pt idx="11">
                  <c:v>21600</c:v>
                </c:pt>
                <c:pt idx="12">
                  <c:v>16200</c:v>
                </c:pt>
                <c:pt idx="13">
                  <c:v>13500</c:v>
                </c:pt>
                <c:pt idx="14">
                  <c:v>12150</c:v>
                </c:pt>
                <c:pt idx="15">
                  <c:v>10800</c:v>
                </c:pt>
                <c:pt idx="16">
                  <c:v>9450</c:v>
                </c:pt>
                <c:pt idx="17">
                  <c:v>8100</c:v>
                </c:pt>
                <c:pt idx="18">
                  <c:v>1350</c:v>
                </c:pt>
                <c:pt idx="19">
                  <c:v>270</c:v>
                </c:pt>
                <c:pt idx="20">
                  <c:v>0.6</c:v>
                </c:pt>
                <c:pt idx="21">
                  <c:v>0.6</c:v>
                </c:pt>
                <c:pt idx="22">
                  <c:v>0.6</c:v>
                </c:pt>
                <c:pt idx="23">
                  <c:v>0.6</c:v>
                </c:pt>
                <c:pt idx="24">
                  <c:v>0.6</c:v>
                </c:pt>
              </c:numCache>
            </c:numRef>
          </c:val>
        </c:ser>
        <c:ser>
          <c:idx val="6"/>
          <c:order val="3"/>
          <c:tx>
            <c:v>Pupae parasitized</c:v>
          </c:tx>
          <c:spPr>
            <a:solidFill>
              <a:srgbClr val="FF0000">
                <a:alpha val="50000"/>
              </a:srgbClr>
            </a:solidFill>
            <a:ln w="12700">
              <a:solidFill>
                <a:srgbClr val="FF0000"/>
              </a:solidFill>
              <a:prstDash val="solid"/>
            </a:ln>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break'!$BW$4:$BW$28</c:f>
              <c:numCache>
                <c:formatCode>0</c:formatCode>
                <c:ptCount val="25"/>
                <c:pt idx="0">
                  <c:v>26.983963568487351</c:v>
                </c:pt>
                <c:pt idx="1">
                  <c:v>25.236870369629617</c:v>
                </c:pt>
                <c:pt idx="2">
                  <c:v>26.091643847561404</c:v>
                </c:pt>
                <c:pt idx="3">
                  <c:v>29.551033569317752</c:v>
                </c:pt>
                <c:pt idx="4">
                  <c:v>33.864141187215587</c:v>
                </c:pt>
                <c:pt idx="5">
                  <c:v>61.718545476852491</c:v>
                </c:pt>
                <c:pt idx="6">
                  <c:v>89.144870231151501</c:v>
                </c:pt>
                <c:pt idx="7">
                  <c:v>114.174679826961</c:v>
                </c:pt>
                <c:pt idx="8">
                  <c:v>83.00306117814506</c:v>
                </c:pt>
                <c:pt idx="9">
                  <c:v>112.97312555259312</c:v>
                </c:pt>
                <c:pt idx="10">
                  <c:v>165.08361136932993</c:v>
                </c:pt>
                <c:pt idx="11">
                  <c:v>208.95251047224806</c:v>
                </c:pt>
                <c:pt idx="12">
                  <c:v>247.48033140109655</c:v>
                </c:pt>
                <c:pt idx="13">
                  <c:v>290.31489414996872</c:v>
                </c:pt>
                <c:pt idx="14">
                  <c:v>360.140682570075</c:v>
                </c:pt>
                <c:pt idx="15">
                  <c:v>472.28662639657631</c:v>
                </c:pt>
                <c:pt idx="16">
                  <c:v>666.70683256294831</c:v>
                </c:pt>
                <c:pt idx="17">
                  <c:v>782.96041820919004</c:v>
                </c:pt>
                <c:pt idx="18">
                  <c:v>588.61251763321934</c:v>
                </c:pt>
                <c:pt idx="19">
                  <c:v>241.59985445612907</c:v>
                </c:pt>
                <c:pt idx="20">
                  <c:v>0</c:v>
                </c:pt>
                <c:pt idx="21">
                  <c:v>0</c:v>
                </c:pt>
                <c:pt idx="22">
                  <c:v>0</c:v>
                </c:pt>
                <c:pt idx="23">
                  <c:v>0</c:v>
                </c:pt>
                <c:pt idx="24">
                  <c:v>0</c:v>
                </c:pt>
              </c:numCache>
            </c:numRef>
          </c:val>
        </c:ser>
        <c:dLbls>
          <c:showLegendKey val="0"/>
          <c:showVal val="0"/>
          <c:showCatName val="0"/>
          <c:showSerName val="0"/>
          <c:showPercent val="0"/>
          <c:showBubbleSize val="0"/>
        </c:dLbls>
        <c:axId val="255355520"/>
        <c:axId val="255361792"/>
      </c:areaChart>
      <c:areaChart>
        <c:grouping val="standard"/>
        <c:varyColors val="0"/>
        <c:ser>
          <c:idx val="9"/>
          <c:order val="9"/>
          <c:tx>
            <c:v>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ser>
          <c:idx val="10"/>
          <c:order val="10"/>
          <c:tx>
            <c:v>Winter crash</c:v>
          </c:tx>
          <c:spPr>
            <a:solidFill>
              <a:srgbClr val="FF0000"/>
            </a:solidFill>
          </c:spP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break'!$EB$4:$EB$28</c:f>
              <c:numCache>
                <c:formatCode>General</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100</c:v>
                </c:pt>
                <c:pt idx="21">
                  <c:v>200</c:v>
                </c:pt>
                <c:pt idx="22">
                  <c:v>200</c:v>
                </c:pt>
                <c:pt idx="23">
                  <c:v>200</c:v>
                </c:pt>
                <c:pt idx="24">
                  <c:v>200</c:v>
                </c:pt>
              </c:numCache>
            </c:numRef>
          </c:val>
        </c:ser>
        <c:dLbls>
          <c:showLegendKey val="0"/>
          <c:showVal val="0"/>
          <c:showCatName val="0"/>
          <c:showSerName val="0"/>
          <c:showPercent val="0"/>
          <c:showBubbleSize val="0"/>
        </c:dLbls>
        <c:axId val="255365888"/>
        <c:axId val="255363712"/>
      </c:areaChart>
      <c:lineChart>
        <c:grouping val="standard"/>
        <c:varyColors val="0"/>
        <c:ser>
          <c:idx val="3"/>
          <c:order val="1"/>
          <c:tx>
            <c:v>Total varroa</c:v>
          </c:tx>
          <c:spPr>
            <a:ln>
              <a:solidFill>
                <a:srgbClr val="FF0000"/>
              </a:solidFill>
            </a:ln>
          </c:spPr>
          <c:marker>
            <c:symbol val="circle"/>
            <c:size val="5"/>
            <c:spPr>
              <a:solidFill>
                <a:srgbClr val="FF0000"/>
              </a:solidFill>
              <a:ln>
                <a:noFill/>
              </a:ln>
            </c:spPr>
          </c:marker>
          <c:dLbls>
            <c:dLbl>
              <c:idx val="0"/>
              <c:layout>
                <c:manualLayout>
                  <c:x val="-7.6655196573145165E-2"/>
                  <c:y val="2.5670321415888403E-2"/>
                </c:manualLayout>
              </c:layout>
              <c:dLblPos val="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layout>
                <c:manualLayout>
                  <c:x val="2.8201546302984364E-2"/>
                  <c:y val="3.8053828995913898E-2"/>
                </c:manualLayout>
              </c:layout>
              <c:dLblPos val="r"/>
              <c:showLegendKey val="0"/>
              <c:showVal val="1"/>
              <c:showCatName val="0"/>
              <c:showSerName val="0"/>
              <c:showPercent val="0"/>
              <c:showBubbleSize val="0"/>
            </c:dLbl>
            <c:spPr>
              <a:solidFill>
                <a:schemeClr val="bg1"/>
              </a:solidFill>
              <a:effectLst>
                <a:softEdge rad="12700"/>
              </a:effectLst>
            </c:spPr>
            <c:txPr>
              <a:bodyPr/>
              <a:lstStyle/>
              <a:p>
                <a:pPr>
                  <a:defRPr sz="1100" b="1">
                    <a:solidFill>
                      <a:srgbClr val="FF0000"/>
                    </a:solidFill>
                  </a:defRPr>
                </a:pPr>
                <a:endParaRPr lang="en-US"/>
              </a:p>
            </c:txPr>
            <c:dLblPos val="l"/>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break'!$BB$4:$BB$28</c:f>
              <c:numCache>
                <c:formatCode>#,##0</c:formatCode>
                <c:ptCount val="25"/>
                <c:pt idx="0">
                  <c:v>100</c:v>
                </c:pt>
                <c:pt idx="1">
                  <c:v>92.660083310629844</c:v>
                </c:pt>
                <c:pt idx="2">
                  <c:v>96.233369627244912</c:v>
                </c:pt>
                <c:pt idx="3">
                  <c:v>111.0501209870117</c:v>
                </c:pt>
                <c:pt idx="4">
                  <c:v>128.1481612770894</c:v>
                </c:pt>
                <c:pt idx="5">
                  <c:v>140.86531344113729</c:v>
                </c:pt>
                <c:pt idx="6">
                  <c:v>179.52443393401578</c:v>
                </c:pt>
                <c:pt idx="7">
                  <c:v>157.57325721354013</c:v>
                </c:pt>
                <c:pt idx="8">
                  <c:v>140.54011590519272</c:v>
                </c:pt>
                <c:pt idx="9">
                  <c:v>213.30417096207731</c:v>
                </c:pt>
                <c:pt idx="10">
                  <c:v>278.92432739498145</c:v>
                </c:pt>
                <c:pt idx="11">
                  <c:v>371.78771443960494</c:v>
                </c:pt>
                <c:pt idx="12">
                  <c:v>485.622190452025</c:v>
                </c:pt>
                <c:pt idx="13">
                  <c:v>597.17190364518092</c:v>
                </c:pt>
                <c:pt idx="14">
                  <c:v>755.49817863901808</c:v>
                </c:pt>
                <c:pt idx="15">
                  <c:v>973.55174596105348</c:v>
                </c:pt>
                <c:pt idx="16">
                  <c:v>1207.8701096469458</c:v>
                </c:pt>
                <c:pt idx="17">
                  <c:v>1438.5421652435957</c:v>
                </c:pt>
                <c:pt idx="18">
                  <c:v>1799.1639523273093</c:v>
                </c:pt>
                <c:pt idx="19">
                  <c:v>1795.9896916958526</c:v>
                </c:pt>
                <c:pt idx="20">
                  <c:v>0</c:v>
                </c:pt>
                <c:pt idx="21">
                  <c:v>0</c:v>
                </c:pt>
                <c:pt idx="22">
                  <c:v>0</c:v>
                </c:pt>
                <c:pt idx="23">
                  <c:v>0</c:v>
                </c:pt>
                <c:pt idx="24">
                  <c:v>0</c:v>
                </c:pt>
              </c:numCache>
            </c:numRef>
          </c:val>
          <c:smooth val="0"/>
        </c:ser>
        <c:ser>
          <c:idx val="7"/>
          <c:order val="7"/>
          <c:tx>
            <c:v>Mite immigration</c:v>
          </c:tx>
          <c:spPr>
            <a:ln>
              <a:noFill/>
              <a:prstDash val="sysDot"/>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break'!$DM$4:$DM$28</c:f>
              <c:numCache>
                <c:formatCode>0</c:formatCode>
                <c:ptCount val="25"/>
                <c:pt idx="0">
                  <c:v>0</c:v>
                </c:pt>
                <c:pt idx="1">
                  <c:v>0</c:v>
                </c:pt>
                <c:pt idx="2">
                  <c:v>0</c:v>
                </c:pt>
                <c:pt idx="3">
                  <c:v>0</c:v>
                </c:pt>
                <c:pt idx="4">
                  <c:v>0</c:v>
                </c:pt>
                <c:pt idx="5">
                  <c:v>0</c:v>
                </c:pt>
                <c:pt idx="6">
                  <c:v>0</c:v>
                </c:pt>
                <c:pt idx="7">
                  <c:v>0</c:v>
                </c:pt>
                <c:pt idx="8">
                  <c:v>0</c:v>
                </c:pt>
                <c:pt idx="9">
                  <c:v>0</c:v>
                </c:pt>
                <c:pt idx="10">
                  <c:v>2</c:v>
                </c:pt>
                <c:pt idx="11">
                  <c:v>3</c:v>
                </c:pt>
                <c:pt idx="12">
                  <c:v>5</c:v>
                </c:pt>
                <c:pt idx="13">
                  <c:v>10</c:v>
                </c:pt>
                <c:pt idx="14">
                  <c:v>15</c:v>
                </c:pt>
                <c:pt idx="15">
                  <c:v>30</c:v>
                </c:pt>
                <c:pt idx="16">
                  <c:v>40</c:v>
                </c:pt>
                <c:pt idx="17">
                  <c:v>50</c:v>
                </c:pt>
                <c:pt idx="18">
                  <c:v>30</c:v>
                </c:pt>
                <c:pt idx="19">
                  <c:v>10</c:v>
                </c:pt>
                <c:pt idx="20">
                  <c:v>5</c:v>
                </c:pt>
                <c:pt idx="21">
                  <c:v>0</c:v>
                </c:pt>
                <c:pt idx="22">
                  <c:v>0</c:v>
                </c:pt>
                <c:pt idx="23">
                  <c:v>0</c:v>
                </c:pt>
                <c:pt idx="24">
                  <c:v>0</c:v>
                </c:pt>
              </c:numCache>
            </c:numRef>
          </c:val>
          <c:smooth val="0"/>
        </c:ser>
        <c:dLbls>
          <c:showLegendKey val="0"/>
          <c:showVal val="0"/>
          <c:showCatName val="0"/>
          <c:showSerName val="0"/>
          <c:showPercent val="0"/>
          <c:showBubbleSize val="0"/>
        </c:dLbls>
        <c:marker val="1"/>
        <c:smooth val="0"/>
        <c:axId val="255355520"/>
        <c:axId val="255361792"/>
      </c:lineChart>
      <c:lineChart>
        <c:grouping val="standard"/>
        <c:varyColors val="0"/>
        <c:ser>
          <c:idx val="0"/>
          <c:order val="4"/>
          <c:tx>
            <c:v>Alcohol wash</c:v>
          </c:tx>
          <c:spPr>
            <a:ln>
              <a:solidFill>
                <a:srgbClr val="00B0F0"/>
              </a:solidFill>
            </a:ln>
          </c:spPr>
          <c:marker>
            <c:symbol val="square"/>
            <c:size val="5"/>
            <c:spPr>
              <a:solidFill>
                <a:srgbClr val="00B0F0"/>
              </a:solidFill>
              <a:ln>
                <a:noFill/>
              </a:ln>
            </c:spPr>
          </c:marker>
          <c:dLbls>
            <c:spPr>
              <a:solidFill>
                <a:schemeClr val="bg1"/>
              </a:solidFill>
              <a:effectLst>
                <a:glow>
                  <a:schemeClr val="accent1">
                    <a:alpha val="40000"/>
                  </a:schemeClr>
                </a:glow>
                <a:softEdge rad="31750"/>
              </a:effectLst>
            </c:spPr>
            <c:txPr>
              <a:bodyPr/>
              <a:lstStyle/>
              <a:p>
                <a:pPr>
                  <a:defRPr sz="1200">
                    <a:solidFill>
                      <a:srgbClr val="00B0F0"/>
                    </a:solidFill>
                  </a:defRPr>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break'!$BE$4:$BE$28</c:f>
              <c:numCache>
                <c:formatCode>0</c:formatCode>
                <c:ptCount val="25"/>
                <c:pt idx="0">
                  <c:v>1.3641486179387587</c:v>
                </c:pt>
                <c:pt idx="1">
                  <c:v>1.2640212458628595</c:v>
                </c:pt>
                <c:pt idx="2">
                  <c:v>1.3127661817659586</c:v>
                </c:pt>
                <c:pt idx="3">
                  <c:v>1.5148886906636396</c:v>
                </c:pt>
                <c:pt idx="4">
                  <c:v>1.9824719360695442</c:v>
                </c:pt>
                <c:pt idx="5">
                  <c:v>1.9486888639003257</c:v>
                </c:pt>
                <c:pt idx="6">
                  <c:v>2.1308044169292661</c:v>
                </c:pt>
                <c:pt idx="7">
                  <c:v>0.55430109686979978</c:v>
                </c:pt>
                <c:pt idx="8">
                  <c:v>0.41008634197977289</c:v>
                </c:pt>
                <c:pt idx="9">
                  <c:v>0.64500040753348498</c:v>
                </c:pt>
                <c:pt idx="10">
                  <c:v>0.69264102899845126</c:v>
                </c:pt>
                <c:pt idx="11">
                  <c:v>0.85196063458294391</c:v>
                </c:pt>
                <c:pt idx="12">
                  <c:v>1.2008148545895607</c:v>
                </c:pt>
                <c:pt idx="13">
                  <c:v>1.5687537818553432</c:v>
                </c:pt>
                <c:pt idx="14">
                  <c:v>2.1054837282360954</c:v>
                </c:pt>
                <c:pt idx="15">
                  <c:v>3.2841799804647249</c:v>
                </c:pt>
                <c:pt idx="16">
                  <c:v>5.3848895150592035</c:v>
                </c:pt>
                <c:pt idx="17">
                  <c:v>7.4821420400886796</c:v>
                </c:pt>
                <c:pt idx="18">
                  <c:v>16.159427087835468</c:v>
                </c:pt>
                <c:pt idx="19">
                  <c:v>20.788988773868169</c:v>
                </c:pt>
                <c:pt idx="20">
                  <c:v>0</c:v>
                </c:pt>
                <c:pt idx="21">
                  <c:v>0</c:v>
                </c:pt>
                <c:pt idx="22">
                  <c:v>0</c:v>
                </c:pt>
                <c:pt idx="23">
                  <c:v>0</c:v>
                </c:pt>
                <c:pt idx="24">
                  <c:v>0</c:v>
                </c:pt>
              </c:numCache>
            </c:numRef>
          </c:val>
          <c:smooth val="0"/>
        </c:ser>
        <c:ser>
          <c:idx val="4"/>
          <c:order val="5"/>
          <c:tx>
            <c:v>U.S. average wash</c:v>
          </c:tx>
          <c:spPr>
            <a:ln w="25400">
              <a:noFill/>
              <a:prstDash val="dash"/>
            </a:ln>
          </c:spPr>
          <c:marker>
            <c:symbol val="none"/>
          </c:marker>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break'!$ET$4:$ET$27</c:f>
              <c:numCache>
                <c:formatCode>General</c:formatCode>
                <c:ptCount val="24"/>
                <c:pt idx="1">
                  <c:v>5.67</c:v>
                </c:pt>
                <c:pt idx="3">
                  <c:v>6.3</c:v>
                </c:pt>
                <c:pt idx="5">
                  <c:v>10.08</c:v>
                </c:pt>
                <c:pt idx="7">
                  <c:v>7.875</c:v>
                </c:pt>
                <c:pt idx="9">
                  <c:v>10.08</c:v>
                </c:pt>
                <c:pt idx="11">
                  <c:v>5.9849999999999994</c:v>
                </c:pt>
                <c:pt idx="13">
                  <c:v>11.654999999999999</c:v>
                </c:pt>
                <c:pt idx="15">
                  <c:v>13.23</c:v>
                </c:pt>
                <c:pt idx="17">
                  <c:v>19.53</c:v>
                </c:pt>
                <c:pt idx="19">
                  <c:v>25.83</c:v>
                </c:pt>
                <c:pt idx="21">
                  <c:v>17.954999999999998</c:v>
                </c:pt>
                <c:pt idx="23">
                  <c:v>11.025</c:v>
                </c:pt>
              </c:numCache>
            </c:numRef>
          </c:val>
          <c:smooth val="0"/>
        </c:ser>
        <c:ser>
          <c:idx val="5"/>
          <c:order val="6"/>
          <c:tx>
            <c:v>Treatment &amp; efficacy</c:v>
          </c:tx>
          <c:spPr>
            <a:ln>
              <a:noFill/>
            </a:ln>
          </c:spPr>
          <c:marker>
            <c:symbol val="triangle"/>
            <c:size val="16"/>
            <c:spPr>
              <a:solidFill>
                <a:schemeClr val="tx1"/>
              </a:solidFill>
              <a:ln>
                <a:noFill/>
              </a:ln>
            </c:spPr>
          </c:marker>
          <c:dPt>
            <c:idx val="24"/>
            <c:marker>
              <c:symbol val="none"/>
            </c:marker>
            <c:bubble3D val="0"/>
          </c:dPt>
          <c:dLbls>
            <c:dLbl>
              <c:idx val="24"/>
              <c:delete val="1"/>
            </c:dLbl>
            <c:txPr>
              <a:bodyPr/>
              <a:lstStyle/>
              <a:p>
                <a:pPr>
                  <a:defRPr sz="1200" b="1"/>
                </a:pPr>
                <a:endParaRPr lang="en-US"/>
              </a:p>
            </c:txPr>
            <c:dLblPos val="t"/>
            <c:showLegendKey val="0"/>
            <c:showVal val="1"/>
            <c:showCatName val="0"/>
            <c:showSerName val="0"/>
            <c:showPercent val="0"/>
            <c:showBubbleSize val="0"/>
            <c:showLeaderLines val="0"/>
          </c:dLbls>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break'!$C$20:$Z$20</c:f>
              <c:numCache>
                <c:formatCode>0%</c:formatCode>
                <c:ptCount val="24"/>
              </c:numCache>
            </c:numRef>
          </c:val>
          <c:smooth val="0"/>
        </c:ser>
        <c:ser>
          <c:idx val="8"/>
          <c:order val="8"/>
          <c:tx>
            <c:v>r value</c:v>
          </c:tx>
          <c:cat>
            <c:numRef>
              <c:f>'Brood break'!$BP$4:$BP$28</c:f>
              <c:numCache>
                <c:formatCode>[$-409]d\-mmm;@</c:formatCode>
                <c:ptCount val="25"/>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pt idx="24">
                  <c:v>40908</c:v>
                </c:pt>
              </c:numCache>
            </c:numRef>
          </c:cat>
          <c:val>
            <c:numRef>
              <c:f>'Brood break'!$AW$24</c:f>
              <c:numCache>
                <c:formatCode>0.000</c:formatCode>
                <c:ptCount val="1"/>
                <c:pt idx="0">
                  <c:v>1.4454215811899483E-2</c:v>
                </c:pt>
              </c:numCache>
            </c:numRef>
          </c:val>
          <c:smooth val="0"/>
        </c:ser>
        <c:ser>
          <c:idx val="11"/>
          <c:order val="11"/>
          <c:tx>
            <c:v>Brood break</c:v>
          </c:tx>
          <c:spPr>
            <a:ln>
              <a:noFill/>
            </a:ln>
          </c:spPr>
          <c:marker>
            <c:symbol val="triangle"/>
            <c:size val="12"/>
            <c:spPr>
              <a:solidFill>
                <a:srgbClr val="B3E971"/>
              </a:solidFill>
              <a:ln>
                <a:solidFill>
                  <a:schemeClr val="tx1"/>
                </a:solidFill>
              </a:ln>
            </c:spPr>
          </c:marker>
          <c:val>
            <c:numRef>
              <c:f>'Brood break'!$AD$4:$AD$28</c:f>
              <c:numCache>
                <c:formatCode>General</c:formatCode>
                <c:ptCount val="25"/>
                <c:pt idx="6">
                  <c:v>0</c:v>
                </c:pt>
                <c:pt idx="7">
                  <c:v>0</c:v>
                </c:pt>
              </c:numCache>
            </c:numRef>
          </c:val>
          <c:smooth val="0"/>
        </c:ser>
        <c:dLbls>
          <c:showLegendKey val="0"/>
          <c:showVal val="0"/>
          <c:showCatName val="0"/>
          <c:showSerName val="0"/>
          <c:showPercent val="0"/>
          <c:showBubbleSize val="0"/>
        </c:dLbls>
        <c:marker val="1"/>
        <c:smooth val="0"/>
        <c:axId val="255365888"/>
        <c:axId val="255363712"/>
      </c:lineChart>
      <c:dateAx>
        <c:axId val="255355520"/>
        <c:scaling>
          <c:orientation val="minMax"/>
        </c:scaling>
        <c:delete val="0"/>
        <c:axPos val="b"/>
        <c:numFmt formatCode="[$-409]d\ mmm;@" sourceLinked="0"/>
        <c:majorTickMark val="out"/>
        <c:minorTickMark val="none"/>
        <c:tickLblPos val="nextTo"/>
        <c:txPr>
          <a:bodyPr/>
          <a:lstStyle/>
          <a:p>
            <a:pPr>
              <a:defRPr baseline="0">
                <a:solidFill>
                  <a:schemeClr val="tx1"/>
                </a:solidFill>
              </a:defRPr>
            </a:pPr>
            <a:endParaRPr lang="en-US"/>
          </a:p>
        </c:txPr>
        <c:crossAx val="255361792"/>
        <c:crosses val="autoZero"/>
        <c:auto val="0"/>
        <c:lblOffset val="100"/>
        <c:baseTimeUnit val="days"/>
        <c:majorUnit val="1"/>
        <c:majorTimeUnit val="months"/>
        <c:minorUnit val="1"/>
        <c:minorTimeUnit val="months"/>
      </c:dateAx>
      <c:valAx>
        <c:axId val="255361792"/>
        <c:scaling>
          <c:orientation val="minMax"/>
          <c:max val="60000"/>
          <c:min val="0"/>
        </c:scaling>
        <c:delete val="0"/>
        <c:axPos val="l"/>
        <c:majorGridlines/>
        <c:title>
          <c:tx>
            <c:rich>
              <a:bodyPr rot="-5400000" vert="horz"/>
              <a:lstStyle/>
              <a:p>
                <a:pPr>
                  <a:defRPr sz="1200" b="0"/>
                </a:pPr>
                <a:r>
                  <a:rPr lang="en-US" sz="1200" b="0"/>
                  <a:t>Number of bees</a:t>
                </a:r>
                <a:r>
                  <a:rPr lang="en-US" sz="1200" b="0" baseline="0"/>
                  <a:t>, mites, or cells of</a:t>
                </a:r>
                <a:r>
                  <a:rPr lang="en-US" sz="1200" b="0"/>
                  <a:t> brood</a:t>
                </a:r>
              </a:p>
            </c:rich>
          </c:tx>
          <c:layout>
            <c:manualLayout>
              <c:xMode val="edge"/>
              <c:yMode val="edge"/>
              <c:x val="9.0387644388732671E-3"/>
              <c:y val="3.3385597277255114E-3"/>
            </c:manualLayout>
          </c:layout>
          <c:overlay val="0"/>
        </c:title>
        <c:numFmt formatCode="#,##0" sourceLinked="0"/>
        <c:majorTickMark val="out"/>
        <c:minorTickMark val="none"/>
        <c:tickLblPos val="nextTo"/>
        <c:txPr>
          <a:bodyPr/>
          <a:lstStyle/>
          <a:p>
            <a:pPr>
              <a:defRPr sz="900"/>
            </a:pPr>
            <a:endParaRPr lang="en-US"/>
          </a:p>
        </c:txPr>
        <c:crossAx val="255355520"/>
        <c:crossesAt val="40544"/>
        <c:crossBetween val="midCat"/>
      </c:valAx>
      <c:valAx>
        <c:axId val="255363712"/>
        <c:scaling>
          <c:orientation val="minMax"/>
          <c:max val="100"/>
          <c:min val="0"/>
        </c:scaling>
        <c:delete val="0"/>
        <c:axPos val="r"/>
        <c:title>
          <c:tx>
            <c:rich>
              <a:bodyPr rot="-5400000" vert="horz"/>
              <a:lstStyle/>
              <a:p>
                <a:pPr>
                  <a:defRPr sz="1200" b="0">
                    <a:solidFill>
                      <a:srgbClr val="0070C0"/>
                    </a:solidFill>
                  </a:defRPr>
                </a:pPr>
                <a:r>
                  <a:rPr lang="en-US" sz="1200" b="0">
                    <a:solidFill>
                      <a:srgbClr val="0070C0"/>
                    </a:solidFill>
                  </a:rPr>
                  <a:t>Number of mites in 1/2 cup of bees</a:t>
                </a:r>
              </a:p>
            </c:rich>
          </c:tx>
          <c:layout>
            <c:manualLayout>
              <c:xMode val="edge"/>
              <c:yMode val="edge"/>
              <c:x val="0.94879689702863301"/>
              <c:y val="6.0772618249827833E-2"/>
            </c:manualLayout>
          </c:layout>
          <c:overlay val="0"/>
        </c:title>
        <c:numFmt formatCode="General" sourceLinked="1"/>
        <c:majorTickMark val="out"/>
        <c:minorTickMark val="none"/>
        <c:tickLblPos val="nextTo"/>
        <c:txPr>
          <a:bodyPr/>
          <a:lstStyle/>
          <a:p>
            <a:pPr>
              <a:defRPr b="0">
                <a:solidFill>
                  <a:srgbClr val="0070C0"/>
                </a:solidFill>
              </a:defRPr>
            </a:pPr>
            <a:endParaRPr lang="en-US"/>
          </a:p>
        </c:txPr>
        <c:crossAx val="255365888"/>
        <c:crosses val="max"/>
        <c:crossBetween val="between"/>
      </c:valAx>
      <c:dateAx>
        <c:axId val="255365888"/>
        <c:scaling>
          <c:orientation val="minMax"/>
        </c:scaling>
        <c:delete val="1"/>
        <c:axPos val="b"/>
        <c:numFmt formatCode="[$-409]d\-mmm;@" sourceLinked="1"/>
        <c:majorTickMark val="out"/>
        <c:minorTickMark val="none"/>
        <c:tickLblPos val="none"/>
        <c:crossAx val="255363712"/>
        <c:crosses val="autoZero"/>
        <c:auto val="1"/>
        <c:lblOffset val="100"/>
        <c:baseTimeUnit val="days"/>
        <c:majorUnit val="1"/>
        <c:minorUnit val="1"/>
      </c:dateAx>
      <c:spPr>
        <a:noFill/>
        <a:ln w="25400">
          <a:noFill/>
        </a:ln>
      </c:spPr>
    </c:plotArea>
    <c:legend>
      <c:legendPos val="r"/>
      <c:legendEntry>
        <c:idx val="3"/>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8.6913294445544367E-2"/>
          <c:y val="3.4865534338914213E-2"/>
          <c:w val="0.13845176832717698"/>
          <c:h val="0.44468365785738606"/>
        </c:manualLayout>
      </c:layout>
      <c:overlay val="0"/>
      <c:spPr>
        <a:solidFill>
          <a:schemeClr val="bg1"/>
        </a:solidFill>
        <a:ln>
          <a:solidFill>
            <a:schemeClr val="tx1"/>
          </a:solidFill>
        </a:ln>
      </c:spPr>
    </c:legend>
    <c:plotVisOnly val="1"/>
    <c:dispBlanksAs val="span"/>
    <c:showDLblsOverMax val="0"/>
  </c:chart>
  <c:spPr>
    <a:solidFill>
      <a:schemeClr val="bg1"/>
    </a:solidFill>
  </c:spPr>
  <c:printSettings>
    <c:headerFooter/>
    <c:pageMargins b="0" l="0.70000000000000007" r="0.70000000000000007" t="0.75000000000000011" header="0.30000000000000004" footer="0.30000000000000004"/>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Data from Boot, extended</c:v>
          </c:tx>
          <c:spPr>
            <a:ln w="28575">
              <a:noFill/>
              <a:prstDash val="sysDash"/>
            </a:ln>
          </c:spPr>
          <c:marker>
            <c:symbol val="circle"/>
            <c:size val="5"/>
          </c:marker>
          <c:trendline>
            <c:trendlineType val="log"/>
            <c:dispRSqr val="0"/>
            <c:dispEq val="1"/>
            <c:trendlineLbl>
              <c:layout>
                <c:manualLayout>
                  <c:x val="-0.1851113055312531"/>
                  <c:y val="-0.38620152045027067"/>
                </c:manualLayout>
              </c:layout>
              <c:numFmt formatCode="#,##0.0000"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break'!$CC$88:$CC$106</c:f>
              <c:numCache>
                <c:formatCode>General</c:formatCode>
                <c:ptCount val="19"/>
                <c:pt idx="0">
                  <c:v>40</c:v>
                </c:pt>
                <c:pt idx="1">
                  <c:v>30</c:v>
                </c:pt>
                <c:pt idx="2">
                  <c:v>20</c:v>
                </c:pt>
                <c:pt idx="3">
                  <c:v>17</c:v>
                </c:pt>
                <c:pt idx="4" formatCode="0.0">
                  <c:v>14.285714285714285</c:v>
                </c:pt>
                <c:pt idx="5" formatCode="0.0">
                  <c:v>12.5</c:v>
                </c:pt>
                <c:pt idx="6" formatCode="0.0">
                  <c:v>10.526315789473685</c:v>
                </c:pt>
                <c:pt idx="7" formatCode="0.0">
                  <c:v>9.0909090909090917</c:v>
                </c:pt>
                <c:pt idx="8" formatCode="0.0">
                  <c:v>7.6923076923076916</c:v>
                </c:pt>
                <c:pt idx="9" formatCode="0.0">
                  <c:v>6.666666666666667</c:v>
                </c:pt>
                <c:pt idx="10" formatCode="0.0">
                  <c:v>4.2105263157894735</c:v>
                </c:pt>
                <c:pt idx="11" formatCode="0.0">
                  <c:v>3.6363636363636367</c:v>
                </c:pt>
                <c:pt idx="12" formatCode="0.0">
                  <c:v>3.0769230769230771</c:v>
                </c:pt>
                <c:pt idx="13" formatCode="0.0">
                  <c:v>2.8571428571428572</c:v>
                </c:pt>
                <c:pt idx="14" formatCode="0.0">
                  <c:v>1.8181818181818181</c:v>
                </c:pt>
                <c:pt idx="15" formatCode="0.0">
                  <c:v>1.6216216216216215</c:v>
                </c:pt>
                <c:pt idx="16">
                  <c:v>1.4</c:v>
                </c:pt>
                <c:pt idx="17">
                  <c:v>1</c:v>
                </c:pt>
                <c:pt idx="18">
                  <c:v>0.5</c:v>
                </c:pt>
              </c:numCache>
            </c:numRef>
          </c:yVal>
          <c:smooth val="0"/>
        </c:ser>
        <c:ser>
          <c:idx val="1"/>
          <c:order val="1"/>
          <c:tx>
            <c:v>Calculated values</c:v>
          </c:tx>
          <c:spPr>
            <a:ln w="25400">
              <a:solidFill>
                <a:srgbClr val="FF0000"/>
              </a:solidFill>
            </a:ln>
          </c:spPr>
          <c:marker>
            <c:symbol val="none"/>
          </c:marker>
          <c:trendline>
            <c:trendlineType val="log"/>
            <c:dispRSqr val="0"/>
            <c:dispEq val="1"/>
            <c:trendlineLbl>
              <c:layout>
                <c:manualLayout>
                  <c:x val="-5.3663579408895726E-2"/>
                  <c:y val="-0.14166963461992321"/>
                </c:manualLayout>
              </c:layout>
              <c:tx>
                <c:rich>
                  <a:bodyPr/>
                  <a:lstStyle/>
                  <a:p>
                    <a:pPr>
                      <a:defRPr/>
                    </a:pPr>
                    <a:r>
                      <a:rPr lang="en-US" sz="1200" b="1" baseline="0">
                        <a:solidFill>
                          <a:srgbClr val="FF0000"/>
                        </a:solidFill>
                      </a:rPr>
                      <a:t>y = -5ln(x) + 5</a:t>
                    </a:r>
                    <a:endParaRPr lang="en-US" sz="1200" b="1">
                      <a:solidFill>
                        <a:srgbClr val="FF0000"/>
                      </a:solidFill>
                    </a:endParaRPr>
                  </a:p>
                </c:rich>
              </c:tx>
              <c:numFmt formatCode="General" sourceLinked="0"/>
            </c:trendlineLbl>
          </c:trendline>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break'!$CE$88:$CE$106</c:f>
              <c:numCache>
                <c:formatCode>0.0</c:formatCode>
                <c:ptCount val="19"/>
                <c:pt idx="0">
                  <c:v>39.538776394910684</c:v>
                </c:pt>
                <c:pt idx="1">
                  <c:v>23.444397270569681</c:v>
                </c:pt>
                <c:pt idx="2">
                  <c:v>18.862943611198908</c:v>
                </c:pt>
                <c:pt idx="3">
                  <c:v>16.512925464970227</c:v>
                </c:pt>
                <c:pt idx="4">
                  <c:v>15.397207708399179</c:v>
                </c:pt>
                <c:pt idx="5">
                  <c:v>11.931471805599454</c:v>
                </c:pt>
                <c:pt idx="6">
                  <c:v>9.9041462650586318</c:v>
                </c:pt>
                <c:pt idx="7">
                  <c:v>8.465735902799727</c:v>
                </c:pt>
                <c:pt idx="8">
                  <c:v>7.3500181462286776</c:v>
                </c:pt>
                <c:pt idx="9">
                  <c:v>6.4384103622589048</c:v>
                </c:pt>
                <c:pt idx="10">
                  <c:v>5.6676569631226128</c:v>
                </c:pt>
                <c:pt idx="11">
                  <c:v>5</c:v>
                </c:pt>
                <c:pt idx="12">
                  <c:v>4.4110848217180827</c:v>
                </c:pt>
                <c:pt idx="13">
                  <c:v>3.8842822434289515</c:v>
                </c:pt>
                <c:pt idx="14">
                  <c:v>3.4077313444073272</c:v>
                </c:pt>
                <c:pt idx="15">
                  <c:v>2.9726744594591779</c:v>
                </c:pt>
                <c:pt idx="16">
                  <c:v>1.5342640972002735</c:v>
                </c:pt>
                <c:pt idx="17">
                  <c:v>0.41854634062922447</c:v>
                </c:pt>
                <c:pt idx="18">
                  <c:v>-0.49306144334054913</c:v>
                </c:pt>
              </c:numCache>
            </c:numRef>
          </c:yVal>
          <c:smooth val="0"/>
        </c:ser>
        <c:ser>
          <c:idx val="2"/>
          <c:order val="2"/>
          <c:tx>
            <c:v>Guesstimates</c:v>
          </c:tx>
          <c:spPr>
            <a:ln w="28575">
              <a:noFill/>
            </a:ln>
          </c:spPr>
          <c:marker>
            <c:symbol val="triangle"/>
            <c:size val="7"/>
            <c:spPr>
              <a:solidFill>
                <a:srgbClr val="FF0000"/>
              </a:solidFill>
            </c:spPr>
          </c:marker>
          <c:xVal>
            <c:numRef>
              <c:f>'Brood break'!$CB$88:$CB$106</c:f>
              <c:numCache>
                <c:formatCode>0.00</c:formatCode>
                <c:ptCount val="19"/>
                <c:pt idx="0" formatCode="0.0000">
                  <c:v>1E-3</c:v>
                </c:pt>
                <c:pt idx="1">
                  <c:v>2.5000000000000001E-2</c:v>
                </c:pt>
                <c:pt idx="2">
                  <c:v>6.25E-2</c:v>
                </c:pt>
                <c:pt idx="3">
                  <c:v>0.1</c:v>
                </c:pt>
                <c:pt idx="4">
                  <c:v>0.125</c:v>
                </c:pt>
                <c:pt idx="5">
                  <c:v>0.25</c:v>
                </c:pt>
                <c:pt idx="6">
                  <c:v>0.375</c:v>
                </c:pt>
                <c:pt idx="7">
                  <c:v>0.5</c:v>
                </c:pt>
                <c:pt idx="8">
                  <c:v>0.625</c:v>
                </c:pt>
                <c:pt idx="9">
                  <c:v>0.75</c:v>
                </c:pt>
                <c:pt idx="10">
                  <c:v>0.875</c:v>
                </c:pt>
                <c:pt idx="11">
                  <c:v>1</c:v>
                </c:pt>
                <c:pt idx="12">
                  <c:v>1.125</c:v>
                </c:pt>
                <c:pt idx="13">
                  <c:v>1.25</c:v>
                </c:pt>
                <c:pt idx="14">
                  <c:v>1.375</c:v>
                </c:pt>
                <c:pt idx="15">
                  <c:v>1.5</c:v>
                </c:pt>
                <c:pt idx="16">
                  <c:v>2</c:v>
                </c:pt>
                <c:pt idx="17">
                  <c:v>2.5</c:v>
                </c:pt>
                <c:pt idx="18">
                  <c:v>3</c:v>
                </c:pt>
              </c:numCache>
            </c:numRef>
          </c:xVal>
          <c:yVal>
            <c:numRef>
              <c:f>'Brood break'!$BZ$88:$BZ$106</c:f>
              <c:numCache>
                <c:formatCode>General</c:formatCode>
                <c:ptCount val="19"/>
                <c:pt idx="0">
                  <c:v>40</c:v>
                </c:pt>
                <c:pt idx="1">
                  <c:v>30</c:v>
                </c:pt>
                <c:pt idx="2">
                  <c:v>20</c:v>
                </c:pt>
                <c:pt idx="3">
                  <c:v>17</c:v>
                </c:pt>
                <c:pt idx="16" formatCode="0.00">
                  <c:v>1.4</c:v>
                </c:pt>
                <c:pt idx="17" formatCode="0.00">
                  <c:v>1</c:v>
                </c:pt>
                <c:pt idx="18" formatCode="0.00">
                  <c:v>0.5</c:v>
                </c:pt>
              </c:numCache>
            </c:numRef>
          </c:yVal>
          <c:smooth val="0"/>
        </c:ser>
        <c:dLbls>
          <c:showLegendKey val="0"/>
          <c:showVal val="0"/>
          <c:showCatName val="0"/>
          <c:showSerName val="0"/>
          <c:showPercent val="0"/>
          <c:showBubbleSize val="0"/>
        </c:dLbls>
        <c:axId val="255821312"/>
        <c:axId val="255827968"/>
      </c:scatterChart>
      <c:valAx>
        <c:axId val="255821312"/>
        <c:scaling>
          <c:orientation val="minMax"/>
        </c:scaling>
        <c:delete val="0"/>
        <c:axPos val="b"/>
        <c:title>
          <c:tx>
            <c:rich>
              <a:bodyPr/>
              <a:lstStyle/>
              <a:p>
                <a:pPr>
                  <a:defRPr/>
                </a:pPr>
                <a:r>
                  <a:rPr lang="en-US"/>
                  <a:t>Brood:bee ratio</a:t>
                </a:r>
              </a:p>
            </c:rich>
          </c:tx>
          <c:overlay val="0"/>
        </c:title>
        <c:numFmt formatCode="0.0000" sourceLinked="1"/>
        <c:majorTickMark val="out"/>
        <c:minorTickMark val="none"/>
        <c:tickLblPos val="nextTo"/>
        <c:crossAx val="255827968"/>
        <c:crosses val="autoZero"/>
        <c:crossBetween val="midCat"/>
      </c:valAx>
      <c:valAx>
        <c:axId val="255827968"/>
        <c:scaling>
          <c:orientation val="minMax"/>
        </c:scaling>
        <c:delete val="0"/>
        <c:axPos val="l"/>
        <c:majorGridlines/>
        <c:title>
          <c:tx>
            <c:rich>
              <a:bodyPr rot="-5400000" vert="horz"/>
              <a:lstStyle/>
              <a:p>
                <a:pPr>
                  <a:defRPr/>
                </a:pPr>
                <a:r>
                  <a:rPr lang="en-US"/>
                  <a:t>Mean days phoretic</a:t>
                </a:r>
              </a:p>
            </c:rich>
          </c:tx>
          <c:overlay val="0"/>
        </c:title>
        <c:numFmt formatCode="General" sourceLinked="1"/>
        <c:majorTickMark val="out"/>
        <c:minorTickMark val="none"/>
        <c:tickLblPos val="nextTo"/>
        <c:crossAx val="255821312"/>
        <c:crosses val="autoZero"/>
        <c:crossBetween val="midCat"/>
      </c:valAx>
    </c:plotArea>
    <c:legend>
      <c:legendPos val="r"/>
      <c:overlay val="0"/>
    </c:legend>
    <c:plotVisOnly val="1"/>
    <c:dispBlanksAs val="span"/>
    <c:showDLblsOverMax val="0"/>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Type'!$L$31:$L$54</c:f>
              <c:numCache>
                <c:formatCode>General</c:formatCode>
                <c:ptCount val="24"/>
                <c:pt idx="0">
                  <c:v>16000</c:v>
                </c:pt>
                <c:pt idx="1">
                  <c:v>16000</c:v>
                </c:pt>
                <c:pt idx="2">
                  <c:v>16000</c:v>
                </c:pt>
                <c:pt idx="3">
                  <c:v>14000</c:v>
                </c:pt>
                <c:pt idx="4">
                  <c:v>14000</c:v>
                </c:pt>
                <c:pt idx="5">
                  <c:v>12000</c:v>
                </c:pt>
                <c:pt idx="6">
                  <c:v>12000</c:v>
                </c:pt>
                <c:pt idx="7">
                  <c:v>16000</c:v>
                </c:pt>
                <c:pt idx="8">
                  <c:v>22000</c:v>
                </c:pt>
                <c:pt idx="9">
                  <c:v>30000</c:v>
                </c:pt>
                <c:pt idx="10">
                  <c:v>38000</c:v>
                </c:pt>
                <c:pt idx="11">
                  <c:v>44000</c:v>
                </c:pt>
                <c:pt idx="12">
                  <c:v>48000</c:v>
                </c:pt>
                <c:pt idx="13">
                  <c:v>50000</c:v>
                </c:pt>
                <c:pt idx="14">
                  <c:v>50000</c:v>
                </c:pt>
                <c:pt idx="15">
                  <c:v>44000</c:v>
                </c:pt>
                <c:pt idx="16">
                  <c:v>38000</c:v>
                </c:pt>
                <c:pt idx="17">
                  <c:v>32000</c:v>
                </c:pt>
                <c:pt idx="18">
                  <c:v>30000</c:v>
                </c:pt>
                <c:pt idx="19">
                  <c:v>24000</c:v>
                </c:pt>
                <c:pt idx="20">
                  <c:v>18000</c:v>
                </c:pt>
                <c:pt idx="21">
                  <c:v>17000</c:v>
                </c:pt>
                <c:pt idx="22">
                  <c:v>16500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Type'!$M$31:$M$54</c:f>
              <c:numCache>
                <c:formatCode>General</c:formatCode>
                <c:ptCount val="24"/>
                <c:pt idx="0">
                  <c:v>0</c:v>
                </c:pt>
                <c:pt idx="1">
                  <c:v>1125</c:v>
                </c:pt>
                <c:pt idx="2">
                  <c:v>1485</c:v>
                </c:pt>
                <c:pt idx="3">
                  <c:v>3375</c:v>
                </c:pt>
                <c:pt idx="4">
                  <c:v>4500</c:v>
                </c:pt>
                <c:pt idx="5">
                  <c:v>9000</c:v>
                </c:pt>
                <c:pt idx="6">
                  <c:v>13500</c:v>
                </c:pt>
                <c:pt idx="7">
                  <c:v>22500</c:v>
                </c:pt>
                <c:pt idx="8">
                  <c:v>27000</c:v>
                </c:pt>
                <c:pt idx="9">
                  <c:v>29250</c:v>
                </c:pt>
                <c:pt idx="10">
                  <c:v>31500</c:v>
                </c:pt>
                <c:pt idx="11">
                  <c:v>29250</c:v>
                </c:pt>
                <c:pt idx="12">
                  <c:v>27000</c:v>
                </c:pt>
                <c:pt idx="13">
                  <c:v>22500</c:v>
                </c:pt>
                <c:pt idx="14">
                  <c:v>20250</c:v>
                </c:pt>
                <c:pt idx="15">
                  <c:v>18000</c:v>
                </c:pt>
                <c:pt idx="16">
                  <c:v>15750</c:v>
                </c:pt>
                <c:pt idx="17">
                  <c:v>18000</c:v>
                </c:pt>
                <c:pt idx="18">
                  <c:v>9000</c:v>
                </c:pt>
                <c:pt idx="19">
                  <c:v>2250</c:v>
                </c:pt>
                <c:pt idx="20">
                  <c:v>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Type'!$C$31:$C$54</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33104896"/>
        <c:axId val="233106432"/>
      </c:lineChart>
      <c:dateAx>
        <c:axId val="233104896"/>
        <c:scaling>
          <c:orientation val="minMax"/>
        </c:scaling>
        <c:delete val="0"/>
        <c:axPos val="b"/>
        <c:numFmt formatCode="[$-409]d\-mmm;@" sourceLinked="1"/>
        <c:majorTickMark val="cross"/>
        <c:minorTickMark val="none"/>
        <c:tickLblPos val="nextTo"/>
        <c:txPr>
          <a:bodyPr/>
          <a:lstStyle/>
          <a:p>
            <a:pPr>
              <a:defRPr b="1"/>
            </a:pPr>
            <a:endParaRPr lang="en-US"/>
          </a:p>
        </c:txPr>
        <c:crossAx val="233106432"/>
        <c:crosses val="autoZero"/>
        <c:auto val="1"/>
        <c:lblOffset val="100"/>
        <c:baseTimeUnit val="days"/>
      </c:dateAx>
      <c:valAx>
        <c:axId val="23310643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310489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2931961756200234"/>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Type'!$L$171:$L$194</c:f>
              <c:numCache>
                <c:formatCode>General</c:formatCode>
                <c:ptCount val="24"/>
                <c:pt idx="0">
                  <c:v>12000</c:v>
                </c:pt>
                <c:pt idx="1">
                  <c:v>11000</c:v>
                </c:pt>
                <c:pt idx="2">
                  <c:v>12000</c:v>
                </c:pt>
                <c:pt idx="3">
                  <c:v>16000</c:v>
                </c:pt>
                <c:pt idx="4">
                  <c:v>22000</c:v>
                </c:pt>
                <c:pt idx="5">
                  <c:v>32000</c:v>
                </c:pt>
                <c:pt idx="6">
                  <c:v>40000</c:v>
                </c:pt>
                <c:pt idx="7">
                  <c:v>30000</c:v>
                </c:pt>
                <c:pt idx="8">
                  <c:v>30000</c:v>
                </c:pt>
                <c:pt idx="9">
                  <c:v>40000</c:v>
                </c:pt>
                <c:pt idx="10">
                  <c:v>46000</c:v>
                </c:pt>
                <c:pt idx="11">
                  <c:v>50000</c:v>
                </c:pt>
                <c:pt idx="12">
                  <c:v>48000</c:v>
                </c:pt>
                <c:pt idx="13">
                  <c:v>46000</c:v>
                </c:pt>
                <c:pt idx="14">
                  <c:v>40000</c:v>
                </c:pt>
                <c:pt idx="15">
                  <c:v>34000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Type'!$E$171:$E$194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Type'!$M$171:$M$194</c:f>
              <c:numCache>
                <c:formatCode>General</c:formatCode>
                <c:ptCount val="24"/>
                <c:pt idx="0">
                  <c:v>2250</c:v>
                </c:pt>
                <c:pt idx="1">
                  <c:v>11250</c:v>
                </c:pt>
                <c:pt idx="2">
                  <c:v>20250</c:v>
                </c:pt>
                <c:pt idx="3">
                  <c:v>24750</c:v>
                </c:pt>
                <c:pt idx="4">
                  <c:v>31500</c:v>
                </c:pt>
                <c:pt idx="5">
                  <c:v>36000</c:v>
                </c:pt>
                <c:pt idx="6">
                  <c:v>45000</c:v>
                </c:pt>
                <c:pt idx="7">
                  <c:v>40500</c:v>
                </c:pt>
                <c:pt idx="8">
                  <c:v>40500</c:v>
                </c:pt>
                <c:pt idx="9">
                  <c:v>45000</c:v>
                </c:pt>
                <c:pt idx="10">
                  <c:v>45000</c:v>
                </c:pt>
                <c:pt idx="11">
                  <c:v>40500</c:v>
                </c:pt>
                <c:pt idx="12">
                  <c:v>27000</c:v>
                </c:pt>
                <c:pt idx="13">
                  <c:v>22500</c:v>
                </c:pt>
                <c:pt idx="14">
                  <c:v>20250</c:v>
                </c:pt>
                <c:pt idx="15">
                  <c:v>18000</c:v>
                </c:pt>
                <c:pt idx="16">
                  <c:v>15750</c:v>
                </c:pt>
                <c:pt idx="17">
                  <c:v>18000</c:v>
                </c:pt>
                <c:pt idx="18">
                  <c:v>22500</c:v>
                </c:pt>
                <c:pt idx="19">
                  <c:v>18000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Type'!$C$171:$C$194</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Type'!$D$171:$D$194</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34776064"/>
        <c:axId val="234777600"/>
      </c:lineChart>
      <c:dateAx>
        <c:axId val="234776064"/>
        <c:scaling>
          <c:orientation val="minMax"/>
        </c:scaling>
        <c:delete val="0"/>
        <c:axPos val="b"/>
        <c:numFmt formatCode="[$-409]d\-mmm;@" sourceLinked="1"/>
        <c:majorTickMark val="cross"/>
        <c:minorTickMark val="none"/>
        <c:tickLblPos val="nextTo"/>
        <c:txPr>
          <a:bodyPr/>
          <a:lstStyle/>
          <a:p>
            <a:pPr>
              <a:defRPr b="1"/>
            </a:pPr>
            <a:endParaRPr lang="en-US"/>
          </a:p>
        </c:txPr>
        <c:crossAx val="234777600"/>
        <c:crosses val="autoZero"/>
        <c:auto val="1"/>
        <c:lblOffset val="100"/>
        <c:baseTimeUnit val="days"/>
      </c:dateAx>
      <c:valAx>
        <c:axId val="23477760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4776064"/>
        <c:crosses val="autoZero"/>
        <c:crossBetween val="between"/>
      </c:valAx>
    </c:plotArea>
    <c:legend>
      <c:legendPos val="r"/>
      <c:layout>
        <c:manualLayout>
          <c:xMode val="edge"/>
          <c:yMode val="edge"/>
          <c:x val="0.12641256799601103"/>
          <c:y val="7.7373174507032794E-2"/>
          <c:w val="0.23229376633511895"/>
          <c:h val="0.37804000109742386"/>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5.3924221010835188E-2"/>
          <c:w val="0.77464173422335103"/>
          <c:h val="0.8618951661812202"/>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Type'!$L$199:$L$222</c:f>
              <c:numCache>
                <c:formatCode>General</c:formatCode>
                <c:ptCount val="24"/>
                <c:pt idx="0">
                  <c:v>16000</c:v>
                </c:pt>
                <c:pt idx="1">
                  <c:v>16000</c:v>
                </c:pt>
                <c:pt idx="2">
                  <c:v>20000</c:v>
                </c:pt>
                <c:pt idx="3">
                  <c:v>24000</c:v>
                </c:pt>
                <c:pt idx="4">
                  <c:v>32000</c:v>
                </c:pt>
                <c:pt idx="5">
                  <c:v>40000</c:v>
                </c:pt>
                <c:pt idx="6">
                  <c:v>10000</c:v>
                </c:pt>
                <c:pt idx="7">
                  <c:v>10000</c:v>
                </c:pt>
                <c:pt idx="8">
                  <c:v>14000</c:v>
                </c:pt>
                <c:pt idx="9">
                  <c:v>20000</c:v>
                </c:pt>
                <c:pt idx="10">
                  <c:v>28000</c:v>
                </c:pt>
                <c:pt idx="11">
                  <c:v>36000</c:v>
                </c:pt>
                <c:pt idx="12">
                  <c:v>42000</c:v>
                </c:pt>
                <c:pt idx="13">
                  <c:v>44000</c:v>
                </c:pt>
                <c:pt idx="14">
                  <c:v>40000</c:v>
                </c:pt>
                <c:pt idx="15">
                  <c:v>34000</c:v>
                </c:pt>
                <c:pt idx="16">
                  <c:v>28000</c:v>
                </c:pt>
                <c:pt idx="17">
                  <c:v>24000</c:v>
                </c:pt>
                <c:pt idx="18">
                  <c:v>20000</c:v>
                </c:pt>
                <c:pt idx="19">
                  <c:v>18000</c:v>
                </c:pt>
                <c:pt idx="20">
                  <c:v>16000</c:v>
                </c:pt>
                <c:pt idx="21">
                  <c:v>14000</c:v>
                </c:pt>
                <c:pt idx="22">
                  <c:v>16000</c:v>
                </c:pt>
                <c:pt idx="23">
                  <c:v>16000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Type'!$M$199:$M$222</c:f>
              <c:numCache>
                <c:formatCode>General</c:formatCode>
                <c:ptCount val="24"/>
                <c:pt idx="0">
                  <c:v>2250</c:v>
                </c:pt>
                <c:pt idx="1">
                  <c:v>11250</c:v>
                </c:pt>
                <c:pt idx="2">
                  <c:v>22500</c:v>
                </c:pt>
                <c:pt idx="3">
                  <c:v>27000</c:v>
                </c:pt>
                <c:pt idx="4">
                  <c:v>31500</c:v>
                </c:pt>
                <c:pt idx="5">
                  <c:v>31500</c:v>
                </c:pt>
                <c:pt idx="6">
                  <c:v>13500</c:v>
                </c:pt>
                <c:pt idx="7">
                  <c:v>13500</c:v>
                </c:pt>
                <c:pt idx="8">
                  <c:v>22500</c:v>
                </c:pt>
                <c:pt idx="9">
                  <c:v>27000</c:v>
                </c:pt>
                <c:pt idx="10">
                  <c:v>31500</c:v>
                </c:pt>
                <c:pt idx="11">
                  <c:v>31500</c:v>
                </c:pt>
                <c:pt idx="12">
                  <c:v>27000</c:v>
                </c:pt>
                <c:pt idx="13">
                  <c:v>22500</c:v>
                </c:pt>
                <c:pt idx="14">
                  <c:v>15750</c:v>
                </c:pt>
                <c:pt idx="15">
                  <c:v>15750</c:v>
                </c:pt>
                <c:pt idx="16">
                  <c:v>9000</c:v>
                </c:pt>
                <c:pt idx="17">
                  <c:v>13500</c:v>
                </c:pt>
                <c:pt idx="18">
                  <c:v>13500</c:v>
                </c:pt>
                <c:pt idx="19">
                  <c:v>11250</c:v>
                </c:pt>
                <c:pt idx="20">
                  <c:v>9000</c:v>
                </c:pt>
                <c:pt idx="21">
                  <c:v>2250</c:v>
                </c:pt>
                <c:pt idx="22">
                  <c:v>2250</c:v>
                </c:pt>
                <c:pt idx="23">
                  <c:v>0</c:v>
                </c:pt>
              </c:numCache>
            </c:numRef>
          </c:val>
          <c:smooth val="0"/>
        </c:ser>
        <c:ser>
          <c:idx val="0"/>
          <c:order val="2"/>
          <c:tx>
            <c:v>Cold temp</c:v>
          </c:tx>
          <c:spPr>
            <a:ln w="127000"/>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Type'!$C$199:$C$222</c:f>
              <c:numCache>
                <c:formatCode>General</c:formatCode>
                <c:ptCount val="24"/>
                <c:pt idx="0">
                  <c:v>1</c:v>
                </c:pt>
                <c:pt idx="1">
                  <c:v>1</c:v>
                </c:pt>
                <c:pt idx="2">
                  <c:v>1</c:v>
                </c:pt>
                <c:pt idx="3">
                  <c:v>1</c:v>
                </c:pt>
                <c:pt idx="4">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Type'!$E$199:$E$222</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Type'!$D$199:$D$222</c:f>
              <c:numCache>
                <c:formatCode>General</c:formatCode>
                <c:ptCount val="24"/>
                <c:pt idx="1">
                  <c:v>1</c:v>
                </c:pt>
                <c:pt idx="2">
                  <c:v>1</c:v>
                </c:pt>
                <c:pt idx="3">
                  <c:v>1</c:v>
                </c:pt>
                <c:pt idx="4">
                  <c:v>1</c:v>
                </c:pt>
                <c:pt idx="5">
                  <c:v>1</c:v>
                </c:pt>
                <c:pt idx="6">
                  <c:v>1</c:v>
                </c:pt>
                <c:pt idx="7">
                  <c:v>1</c:v>
                </c:pt>
                <c:pt idx="8">
                  <c:v>1</c:v>
                </c:pt>
                <c:pt idx="9">
                  <c:v>1</c:v>
                </c:pt>
                <c:pt idx="10">
                  <c:v>1</c:v>
                </c:pt>
                <c:pt idx="11">
                  <c:v>1</c:v>
                </c:pt>
                <c:pt idx="18">
                  <c:v>1</c:v>
                </c:pt>
                <c:pt idx="19">
                  <c:v>1</c:v>
                </c:pt>
              </c:numCache>
            </c:numRef>
          </c:val>
          <c:smooth val="0"/>
        </c:ser>
        <c:dLbls>
          <c:showLegendKey val="0"/>
          <c:showVal val="0"/>
          <c:showCatName val="0"/>
          <c:showSerName val="0"/>
          <c:showPercent val="0"/>
          <c:showBubbleSize val="0"/>
        </c:dLbls>
        <c:marker val="1"/>
        <c:smooth val="0"/>
        <c:axId val="235472384"/>
        <c:axId val="235473920"/>
      </c:lineChart>
      <c:dateAx>
        <c:axId val="235472384"/>
        <c:scaling>
          <c:orientation val="minMax"/>
        </c:scaling>
        <c:delete val="0"/>
        <c:axPos val="b"/>
        <c:numFmt formatCode="[$-409]d\-mmm;@" sourceLinked="1"/>
        <c:majorTickMark val="cross"/>
        <c:minorTickMark val="none"/>
        <c:tickLblPos val="low"/>
        <c:txPr>
          <a:bodyPr/>
          <a:lstStyle/>
          <a:p>
            <a:pPr>
              <a:defRPr b="1"/>
            </a:pPr>
            <a:endParaRPr lang="en-US"/>
          </a:p>
        </c:txPr>
        <c:crossAx val="235473920"/>
        <c:crosses val="autoZero"/>
        <c:auto val="1"/>
        <c:lblOffset val="100"/>
        <c:baseTimeUnit val="days"/>
      </c:dateAx>
      <c:valAx>
        <c:axId val="235473920"/>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5472384"/>
        <c:crosses val="autoZero"/>
        <c:crossBetween val="midCat"/>
      </c:valAx>
    </c:plotArea>
    <c:legend>
      <c:legendPos val="r"/>
      <c:layout>
        <c:manualLayout>
          <c:xMode val="edge"/>
          <c:yMode val="edge"/>
          <c:x val="0.1285504632499172"/>
          <c:y val="7.3954371088229373E-2"/>
          <c:w val="0.26044730356883677"/>
          <c:h val="0.43330918229880122"/>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43495664113"/>
          <c:y val="6.7599434686048884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Type'!$L$255:$L$278</c:f>
              <c:numCache>
                <c:formatCode>General</c:formatCode>
                <c:ptCount val="24"/>
                <c:pt idx="0">
                  <c:v>10000</c:v>
                </c:pt>
                <c:pt idx="1">
                  <c:v>10000</c:v>
                </c:pt>
                <c:pt idx="2">
                  <c:v>9000</c:v>
                </c:pt>
                <c:pt idx="3">
                  <c:v>9000</c:v>
                </c:pt>
                <c:pt idx="4">
                  <c:v>8000</c:v>
                </c:pt>
                <c:pt idx="5">
                  <c:v>8000</c:v>
                </c:pt>
                <c:pt idx="6">
                  <c:v>8000</c:v>
                </c:pt>
                <c:pt idx="7">
                  <c:v>8000</c:v>
                </c:pt>
                <c:pt idx="8">
                  <c:v>8000</c:v>
                </c:pt>
                <c:pt idx="9">
                  <c:v>7000</c:v>
                </c:pt>
                <c:pt idx="10">
                  <c:v>9000</c:v>
                </c:pt>
                <c:pt idx="11">
                  <c:v>10000</c:v>
                </c:pt>
                <c:pt idx="12">
                  <c:v>10200</c:v>
                </c:pt>
                <c:pt idx="13">
                  <c:v>10400</c:v>
                </c:pt>
                <c:pt idx="14">
                  <c:v>11000</c:v>
                </c:pt>
                <c:pt idx="15">
                  <c:v>12000</c:v>
                </c:pt>
                <c:pt idx="16">
                  <c:v>12400</c:v>
                </c:pt>
                <c:pt idx="17">
                  <c:v>13000</c:v>
                </c:pt>
                <c:pt idx="18">
                  <c:v>13000</c:v>
                </c:pt>
                <c:pt idx="19">
                  <c:v>12000</c:v>
                </c:pt>
                <c:pt idx="20">
                  <c:v>11000</c:v>
                </c:pt>
                <c:pt idx="21">
                  <c:v>10000</c:v>
                </c:pt>
                <c:pt idx="22">
                  <c:v>10000</c:v>
                </c:pt>
                <c:pt idx="23">
                  <c:v>10000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Type'!$M$255:$M$278</c:f>
              <c:numCache>
                <c:formatCode>General</c:formatCode>
                <c:ptCount val="24"/>
                <c:pt idx="0">
                  <c:v>0</c:v>
                </c:pt>
                <c:pt idx="1">
                  <c:v>0</c:v>
                </c:pt>
                <c:pt idx="2">
                  <c:v>0</c:v>
                </c:pt>
                <c:pt idx="3">
                  <c:v>2250</c:v>
                </c:pt>
                <c:pt idx="4">
                  <c:v>2250</c:v>
                </c:pt>
                <c:pt idx="5">
                  <c:v>3375</c:v>
                </c:pt>
                <c:pt idx="6">
                  <c:v>3375</c:v>
                </c:pt>
                <c:pt idx="7">
                  <c:v>4500</c:v>
                </c:pt>
                <c:pt idx="8">
                  <c:v>6750</c:v>
                </c:pt>
                <c:pt idx="9">
                  <c:v>6750</c:v>
                </c:pt>
                <c:pt idx="10">
                  <c:v>7875</c:v>
                </c:pt>
                <c:pt idx="11">
                  <c:v>9000</c:v>
                </c:pt>
                <c:pt idx="12">
                  <c:v>9000</c:v>
                </c:pt>
                <c:pt idx="13">
                  <c:v>7875</c:v>
                </c:pt>
                <c:pt idx="14">
                  <c:v>9000</c:v>
                </c:pt>
                <c:pt idx="15">
                  <c:v>9900</c:v>
                </c:pt>
                <c:pt idx="16">
                  <c:v>9000</c:v>
                </c:pt>
                <c:pt idx="17">
                  <c:v>9000</c:v>
                </c:pt>
                <c:pt idx="18">
                  <c:v>6750</c:v>
                </c:pt>
                <c:pt idx="19">
                  <c:v>6750</c:v>
                </c:pt>
                <c:pt idx="20">
                  <c:v>4500</c:v>
                </c:pt>
                <c:pt idx="21">
                  <c:v>0</c:v>
                </c:pt>
                <c:pt idx="22">
                  <c:v>0</c:v>
                </c:pt>
                <c:pt idx="23">
                  <c:v>0</c:v>
                </c:pt>
              </c:numCache>
            </c:numRef>
          </c:val>
          <c:smooth val="0"/>
        </c:ser>
        <c:dLbls>
          <c:showLegendKey val="0"/>
          <c:showVal val="0"/>
          <c:showCatName val="0"/>
          <c:showSerName val="0"/>
          <c:showPercent val="0"/>
          <c:showBubbleSize val="0"/>
        </c:dLbls>
        <c:marker val="1"/>
        <c:smooth val="0"/>
        <c:axId val="235534208"/>
        <c:axId val="235535744"/>
      </c:lineChart>
      <c:lineChart>
        <c:grouping val="standard"/>
        <c:varyColors val="0"/>
        <c:ser>
          <c:idx val="0"/>
          <c:order val="2"/>
          <c:tx>
            <c:v>Cold temp</c:v>
          </c:tx>
          <c:spPr>
            <a:ln w="127000"/>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Type'!$C$255:$C$278</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Type'!$D$255:$D$278</c:f>
              <c:numCache>
                <c:formatCode>General</c:formatCode>
                <c:ptCount val="24"/>
                <c:pt idx="6">
                  <c:v>1</c:v>
                </c:pt>
                <c:pt idx="7">
                  <c:v>1</c:v>
                </c:pt>
                <c:pt idx="8">
                  <c:v>1</c:v>
                </c:pt>
                <c:pt idx="9">
                  <c:v>1</c:v>
                </c:pt>
                <c:pt idx="10">
                  <c:v>1</c:v>
                </c:pt>
                <c:pt idx="11">
                  <c:v>1</c:v>
                </c:pt>
                <c:pt idx="12">
                  <c:v>1</c:v>
                </c:pt>
                <c:pt idx="13">
                  <c:v>1</c:v>
                </c:pt>
                <c:pt idx="14">
                  <c:v>1</c:v>
                </c:pt>
                <c:pt idx="15">
                  <c:v>1</c:v>
                </c:pt>
                <c:pt idx="16">
                  <c:v>1</c:v>
                </c:pt>
                <c:pt idx="17">
                  <c:v>1</c:v>
                </c:pt>
              </c:numCache>
            </c:numRef>
          </c:val>
          <c:smooth val="0"/>
        </c:ser>
        <c:ser>
          <c:idx val="5"/>
          <c:order val="4"/>
          <c:tx>
            <c:v>High temps</c:v>
          </c:tx>
          <c:spPr>
            <a:ln w="127000">
              <a:solidFill>
                <a:srgbClr val="FF0000"/>
              </a:solidFill>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Type'!$K$255:$K$278</c:f>
              <c:numCache>
                <c:formatCode>General</c:formatCode>
                <c:ptCount val="24"/>
              </c:numCache>
            </c:numRef>
          </c:val>
          <c:smooth val="0"/>
        </c:ser>
        <c:ser>
          <c:idx val="6"/>
          <c:order val="5"/>
          <c:tx>
            <c:v>Drone brood</c:v>
          </c:tx>
          <c:spPr>
            <a:ln>
              <a:solidFill>
                <a:srgbClr val="C00000"/>
              </a:solidFill>
              <a:prstDash val="sysDot"/>
            </a:ln>
          </c:spPr>
          <c:marker>
            <c:symbol val="none"/>
          </c:marker>
          <c:cat>
            <c:numRef>
              <c:f>'Colony Type'!$E$255:$E$278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Type'!$N$255:$N$278</c:f>
              <c:numCache>
                <c:formatCode>General</c:formatCode>
                <c:ptCount val="24"/>
                <c:pt idx="0">
                  <c:v>0</c:v>
                </c:pt>
                <c:pt idx="1">
                  <c:v>0</c:v>
                </c:pt>
                <c:pt idx="2">
                  <c:v>0</c:v>
                </c:pt>
                <c:pt idx="3">
                  <c:v>0</c:v>
                </c:pt>
                <c:pt idx="4">
                  <c:v>0</c:v>
                </c:pt>
                <c:pt idx="5">
                  <c:v>0</c:v>
                </c:pt>
                <c:pt idx="6">
                  <c:v>0</c:v>
                </c:pt>
                <c:pt idx="7">
                  <c:v>0</c:v>
                </c:pt>
                <c:pt idx="8">
                  <c:v>0</c:v>
                </c:pt>
                <c:pt idx="9">
                  <c:v>5</c:v>
                </c:pt>
                <c:pt idx="10">
                  <c:v>5</c:v>
                </c:pt>
                <c:pt idx="11">
                  <c:v>5</c:v>
                </c:pt>
                <c:pt idx="12">
                  <c:v>5</c:v>
                </c:pt>
                <c:pt idx="13">
                  <c:v>5</c:v>
                </c:pt>
                <c:pt idx="14">
                  <c:v>5</c:v>
                </c:pt>
                <c:pt idx="15">
                  <c:v>5</c:v>
                </c:pt>
                <c:pt idx="16">
                  <c:v>2</c:v>
                </c:pt>
                <c:pt idx="17">
                  <c:v>2</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235875712"/>
        <c:axId val="235873792"/>
      </c:lineChart>
      <c:dateAx>
        <c:axId val="235534208"/>
        <c:scaling>
          <c:orientation val="minMax"/>
        </c:scaling>
        <c:delete val="0"/>
        <c:axPos val="b"/>
        <c:numFmt formatCode="[$-409]d\-mmm;@" sourceLinked="1"/>
        <c:majorTickMark val="cross"/>
        <c:minorTickMark val="none"/>
        <c:tickLblPos val="nextTo"/>
        <c:txPr>
          <a:bodyPr/>
          <a:lstStyle/>
          <a:p>
            <a:pPr>
              <a:defRPr b="1"/>
            </a:pPr>
            <a:endParaRPr lang="en-US"/>
          </a:p>
        </c:txPr>
        <c:crossAx val="235535744"/>
        <c:crosses val="autoZero"/>
        <c:auto val="1"/>
        <c:lblOffset val="100"/>
        <c:baseTimeUnit val="days"/>
      </c:dateAx>
      <c:valAx>
        <c:axId val="23553574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5534208"/>
        <c:crosses val="autoZero"/>
        <c:crossBetween val="between"/>
      </c:valAx>
      <c:valAx>
        <c:axId val="235873792"/>
        <c:scaling>
          <c:orientation val="minMax"/>
          <c:max val="100"/>
        </c:scaling>
        <c:delete val="0"/>
        <c:axPos val="r"/>
        <c:title>
          <c:tx>
            <c:rich>
              <a:bodyPr rot="-5400000" vert="horz"/>
              <a:lstStyle/>
              <a:p>
                <a:pPr>
                  <a:defRPr sz="1100" b="0">
                    <a:solidFill>
                      <a:srgbClr val="FF0000"/>
                    </a:solidFill>
                  </a:defRPr>
                </a:pPr>
                <a:r>
                  <a:rPr lang="en-US" sz="1100" b="0">
                    <a:solidFill>
                      <a:srgbClr val="FF0000"/>
                    </a:solidFill>
                  </a:rPr>
                  <a:t>Number of mites immigrating during period</a:t>
                </a:r>
              </a:p>
            </c:rich>
          </c:tx>
          <c:layout/>
          <c:overlay val="0"/>
        </c:title>
        <c:numFmt formatCode="General" sourceLinked="1"/>
        <c:majorTickMark val="out"/>
        <c:minorTickMark val="none"/>
        <c:tickLblPos val="nextTo"/>
        <c:txPr>
          <a:bodyPr/>
          <a:lstStyle/>
          <a:p>
            <a:pPr>
              <a:defRPr>
                <a:solidFill>
                  <a:srgbClr val="FF0000"/>
                </a:solidFill>
              </a:defRPr>
            </a:pPr>
            <a:endParaRPr lang="en-US"/>
          </a:p>
        </c:txPr>
        <c:crossAx val="235875712"/>
        <c:crosses val="max"/>
        <c:crossBetween val="between"/>
      </c:valAx>
      <c:dateAx>
        <c:axId val="235875712"/>
        <c:scaling>
          <c:orientation val="minMax"/>
        </c:scaling>
        <c:delete val="1"/>
        <c:axPos val="b"/>
        <c:numFmt formatCode="[$-409]d\-mmm;@" sourceLinked="1"/>
        <c:majorTickMark val="out"/>
        <c:minorTickMark val="none"/>
        <c:tickLblPos val="none"/>
        <c:crossAx val="235873792"/>
        <c:crosses val="autoZero"/>
        <c:auto val="1"/>
        <c:lblOffset val="100"/>
        <c:baseTimeUnit val="days"/>
        <c:majorUnit val="1"/>
        <c:minorUnit val="1"/>
      </c:dateAx>
    </c:plotArea>
    <c:legend>
      <c:legendPos val="r"/>
      <c:layout>
        <c:manualLayout>
          <c:xMode val="edge"/>
          <c:yMode val="edge"/>
          <c:x val="0.12641256799601103"/>
          <c:y val="7.7373174507032794E-2"/>
          <c:w val="0.26221505798886552"/>
          <c:h val="0.41366141732283468"/>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Type'!$L$115:$L$138</c:f>
              <c:numCache>
                <c:formatCode>General</c:formatCode>
                <c:ptCount val="24"/>
                <c:pt idx="0">
                  <c:v>14000</c:v>
                </c:pt>
                <c:pt idx="1">
                  <c:v>14000</c:v>
                </c:pt>
                <c:pt idx="2">
                  <c:v>20000</c:v>
                </c:pt>
                <c:pt idx="3">
                  <c:v>24000</c:v>
                </c:pt>
                <c:pt idx="4">
                  <c:v>24000</c:v>
                </c:pt>
                <c:pt idx="5">
                  <c:v>28000</c:v>
                </c:pt>
                <c:pt idx="6">
                  <c:v>32000</c:v>
                </c:pt>
                <c:pt idx="7">
                  <c:v>36000</c:v>
                </c:pt>
                <c:pt idx="8">
                  <c:v>36000</c:v>
                </c:pt>
                <c:pt idx="9">
                  <c:v>32000</c:v>
                </c:pt>
                <c:pt idx="10">
                  <c:v>30000</c:v>
                </c:pt>
                <c:pt idx="11">
                  <c:v>28000</c:v>
                </c:pt>
                <c:pt idx="12">
                  <c:v>26000</c:v>
                </c:pt>
                <c:pt idx="13">
                  <c:v>24000</c:v>
                </c:pt>
                <c:pt idx="14">
                  <c:v>20000</c:v>
                </c:pt>
                <c:pt idx="15">
                  <c:v>16000</c:v>
                </c:pt>
                <c:pt idx="16">
                  <c:v>14000</c:v>
                </c:pt>
                <c:pt idx="17">
                  <c:v>15000</c:v>
                </c:pt>
                <c:pt idx="18">
                  <c:v>16000</c:v>
                </c:pt>
                <c:pt idx="19">
                  <c:v>20000</c:v>
                </c:pt>
                <c:pt idx="20">
                  <c:v>20000</c:v>
                </c:pt>
                <c:pt idx="21">
                  <c:v>18000</c:v>
                </c:pt>
                <c:pt idx="22">
                  <c:v>16000</c:v>
                </c:pt>
                <c:pt idx="23">
                  <c:v>14000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Type'!$E$115:$E$138</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Type'!$M$115:$M$138</c:f>
              <c:numCache>
                <c:formatCode>General</c:formatCode>
                <c:ptCount val="24"/>
                <c:pt idx="0">
                  <c:v>9000</c:v>
                </c:pt>
                <c:pt idx="1">
                  <c:v>13500</c:v>
                </c:pt>
                <c:pt idx="2">
                  <c:v>18000</c:v>
                </c:pt>
                <c:pt idx="3">
                  <c:v>22500</c:v>
                </c:pt>
                <c:pt idx="4">
                  <c:v>31500</c:v>
                </c:pt>
                <c:pt idx="5">
                  <c:v>33750</c:v>
                </c:pt>
                <c:pt idx="6">
                  <c:v>36000</c:v>
                </c:pt>
                <c:pt idx="7">
                  <c:v>31500</c:v>
                </c:pt>
                <c:pt idx="8">
                  <c:v>27000</c:v>
                </c:pt>
                <c:pt idx="9">
                  <c:v>27000</c:v>
                </c:pt>
                <c:pt idx="10">
                  <c:v>22500</c:v>
                </c:pt>
                <c:pt idx="11">
                  <c:v>18000</c:v>
                </c:pt>
                <c:pt idx="12">
                  <c:v>18000</c:v>
                </c:pt>
                <c:pt idx="13">
                  <c:v>13500</c:v>
                </c:pt>
                <c:pt idx="14">
                  <c:v>9000</c:v>
                </c:pt>
                <c:pt idx="15">
                  <c:v>9000</c:v>
                </c:pt>
                <c:pt idx="16">
                  <c:v>9000</c:v>
                </c:pt>
                <c:pt idx="17">
                  <c:v>18000</c:v>
                </c:pt>
                <c:pt idx="18">
                  <c:v>18000</c:v>
                </c:pt>
                <c:pt idx="19">
                  <c:v>13500</c:v>
                </c:pt>
                <c:pt idx="20">
                  <c:v>9000</c:v>
                </c:pt>
                <c:pt idx="21">
                  <c:v>9000</c:v>
                </c:pt>
                <c:pt idx="22">
                  <c:v>9000</c:v>
                </c:pt>
                <c:pt idx="23">
                  <c:v>9000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Type'!$C$115:$C$138</c:f>
              <c:numCache>
                <c:formatCode>General</c:formatCode>
                <c:ptCount val="24"/>
                <c:pt idx="15">
                  <c:v>1</c:v>
                </c:pt>
                <c:pt idx="16">
                  <c:v>1</c:v>
                </c:pt>
                <c:pt idx="17">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Type'!$D$115:$D$138</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Cache>
            </c:numRef>
          </c:val>
          <c:smooth val="0"/>
        </c:ser>
        <c:dLbls>
          <c:showLegendKey val="0"/>
          <c:showVal val="0"/>
          <c:showCatName val="0"/>
          <c:showSerName val="0"/>
          <c:showPercent val="0"/>
          <c:showBubbleSize val="0"/>
        </c:dLbls>
        <c:marker val="1"/>
        <c:smooth val="0"/>
        <c:axId val="235883904"/>
        <c:axId val="235906176"/>
      </c:lineChart>
      <c:dateAx>
        <c:axId val="235883904"/>
        <c:scaling>
          <c:orientation val="minMax"/>
        </c:scaling>
        <c:delete val="0"/>
        <c:axPos val="b"/>
        <c:numFmt formatCode="[$-409]d\-mmm;@" sourceLinked="1"/>
        <c:majorTickMark val="cross"/>
        <c:minorTickMark val="none"/>
        <c:tickLblPos val="nextTo"/>
        <c:txPr>
          <a:bodyPr/>
          <a:lstStyle/>
          <a:p>
            <a:pPr>
              <a:defRPr b="1"/>
            </a:pPr>
            <a:endParaRPr lang="en-US"/>
          </a:p>
        </c:txPr>
        <c:crossAx val="235906176"/>
        <c:crosses val="autoZero"/>
        <c:auto val="1"/>
        <c:lblOffset val="100"/>
        <c:baseTimeUnit val="days"/>
      </c:dateAx>
      <c:valAx>
        <c:axId val="235906176"/>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5883904"/>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Type'!$L$87:$L$110</c:f>
              <c:numCache>
                <c:formatCode>General</c:formatCode>
                <c:ptCount val="24"/>
                <c:pt idx="0">
                  <c:v>0</c:v>
                </c:pt>
                <c:pt idx="1">
                  <c:v>0</c:v>
                </c:pt>
                <c:pt idx="2">
                  <c:v>0</c:v>
                </c:pt>
                <c:pt idx="3">
                  <c:v>0</c:v>
                </c:pt>
                <c:pt idx="4">
                  <c:v>0</c:v>
                </c:pt>
                <c:pt idx="5">
                  <c:v>0</c:v>
                </c:pt>
                <c:pt idx="6">
                  <c:v>12000</c:v>
                </c:pt>
                <c:pt idx="7">
                  <c:v>10000</c:v>
                </c:pt>
                <c:pt idx="8">
                  <c:v>18000</c:v>
                </c:pt>
                <c:pt idx="9">
                  <c:v>26000</c:v>
                </c:pt>
                <c:pt idx="10">
                  <c:v>34000</c:v>
                </c:pt>
                <c:pt idx="11">
                  <c:v>42000</c:v>
                </c:pt>
                <c:pt idx="12">
                  <c:v>50000</c:v>
                </c:pt>
                <c:pt idx="13">
                  <c:v>52000</c:v>
                </c:pt>
                <c:pt idx="14">
                  <c:v>50000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Type'!$M$87:$M$110</c:f>
              <c:numCache>
                <c:formatCode>General</c:formatCode>
                <c:ptCount val="24"/>
                <c:pt idx="0">
                  <c:v>0</c:v>
                </c:pt>
                <c:pt idx="1">
                  <c:v>0</c:v>
                </c:pt>
                <c:pt idx="2">
                  <c:v>0</c:v>
                </c:pt>
                <c:pt idx="3">
                  <c:v>0</c:v>
                </c:pt>
                <c:pt idx="4">
                  <c:v>0</c:v>
                </c:pt>
                <c:pt idx="5">
                  <c:v>0</c:v>
                </c:pt>
                <c:pt idx="6">
                  <c:v>0</c:v>
                </c:pt>
                <c:pt idx="7">
                  <c:v>13500</c:v>
                </c:pt>
                <c:pt idx="8">
                  <c:v>18000</c:v>
                </c:pt>
                <c:pt idx="9">
                  <c:v>31500</c:v>
                </c:pt>
                <c:pt idx="10">
                  <c:v>36000</c:v>
                </c:pt>
                <c:pt idx="11">
                  <c:v>36000</c:v>
                </c:pt>
                <c:pt idx="12">
                  <c:v>36000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Type'!$C$87:$C$110</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Type'!$D$87:$D$110</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35933056"/>
        <c:axId val="235938944"/>
      </c:lineChart>
      <c:dateAx>
        <c:axId val="235933056"/>
        <c:scaling>
          <c:orientation val="minMax"/>
        </c:scaling>
        <c:delete val="0"/>
        <c:axPos val="b"/>
        <c:numFmt formatCode="[$-409]d\-mmm;@" sourceLinked="1"/>
        <c:majorTickMark val="cross"/>
        <c:minorTickMark val="none"/>
        <c:tickLblPos val="nextTo"/>
        <c:txPr>
          <a:bodyPr/>
          <a:lstStyle/>
          <a:p>
            <a:pPr>
              <a:defRPr b="1"/>
            </a:pPr>
            <a:endParaRPr lang="en-US"/>
          </a:p>
        </c:txPr>
        <c:crossAx val="235938944"/>
        <c:crosses val="autoZero"/>
        <c:auto val="1"/>
        <c:lblOffset val="100"/>
        <c:baseTimeUnit val="days"/>
      </c:dateAx>
      <c:valAx>
        <c:axId val="235938944"/>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5933056"/>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1751742301969"/>
          <c:y val="4.3667727374786122E-2"/>
          <c:w val="0.77464173422335103"/>
          <c:h val="0.8635514431263015"/>
        </c:manualLayout>
      </c:layout>
      <c:lineChart>
        <c:grouping val="standard"/>
        <c:varyColors val="0"/>
        <c:ser>
          <c:idx val="1"/>
          <c:order val="0"/>
          <c:tx>
            <c:v>Adult bee pop</c:v>
          </c:tx>
          <c:spPr>
            <a:ln>
              <a:solidFill>
                <a:srgbClr val="FFC000"/>
              </a:solidFill>
            </a:ln>
          </c:spPr>
          <c:marker>
            <c:symbol val="circle"/>
            <c:size val="5"/>
            <c:spPr>
              <a:solidFill>
                <a:srgbClr val="FFC000"/>
              </a:solidFill>
              <a:ln>
                <a:noFill/>
              </a:ln>
            </c:spPr>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Type'!$L$59:$L$82</c:f>
              <c:numCache>
                <c:formatCode>General</c:formatCode>
                <c:ptCount val="24"/>
                <c:pt idx="0">
                  <c:v>0</c:v>
                </c:pt>
                <c:pt idx="1">
                  <c:v>0</c:v>
                </c:pt>
                <c:pt idx="2">
                  <c:v>0</c:v>
                </c:pt>
                <c:pt idx="3">
                  <c:v>0</c:v>
                </c:pt>
                <c:pt idx="4">
                  <c:v>0</c:v>
                </c:pt>
                <c:pt idx="5">
                  <c:v>0</c:v>
                </c:pt>
                <c:pt idx="6">
                  <c:v>10000</c:v>
                </c:pt>
                <c:pt idx="7">
                  <c:v>14000</c:v>
                </c:pt>
                <c:pt idx="8">
                  <c:v>20000</c:v>
                </c:pt>
                <c:pt idx="9">
                  <c:v>26000</c:v>
                </c:pt>
                <c:pt idx="10">
                  <c:v>32000</c:v>
                </c:pt>
                <c:pt idx="11">
                  <c:v>38000</c:v>
                </c:pt>
                <c:pt idx="12">
                  <c:v>46000</c:v>
                </c:pt>
                <c:pt idx="13">
                  <c:v>48000</c:v>
                </c:pt>
                <c:pt idx="14">
                  <c:v>46000</c:v>
                </c:pt>
                <c:pt idx="15">
                  <c:v>40000</c:v>
                </c:pt>
                <c:pt idx="16">
                  <c:v>28000</c:v>
                </c:pt>
                <c:pt idx="17">
                  <c:v>24000</c:v>
                </c:pt>
                <c:pt idx="18">
                  <c:v>20000</c:v>
                </c:pt>
                <c:pt idx="19">
                  <c:v>18000</c:v>
                </c:pt>
                <c:pt idx="20">
                  <c:v>16000</c:v>
                </c:pt>
                <c:pt idx="21">
                  <c:v>14000</c:v>
                </c:pt>
                <c:pt idx="22">
                  <c:v>12000</c:v>
                </c:pt>
                <c:pt idx="23">
                  <c:v>12000</c:v>
                </c:pt>
              </c:numCache>
            </c:numRef>
          </c:val>
          <c:smooth val="0"/>
        </c:ser>
        <c:ser>
          <c:idx val="2"/>
          <c:order val="1"/>
          <c:tx>
            <c:v>Total brood</c:v>
          </c:tx>
          <c:spPr>
            <a:ln w="38100">
              <a:solidFill>
                <a:schemeClr val="accent6">
                  <a:lumMod val="50000"/>
                </a:schemeClr>
              </a:solidFill>
              <a:prstDash val="sysDot"/>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Type'!$M$59:$M$82</c:f>
              <c:numCache>
                <c:formatCode>General</c:formatCode>
                <c:ptCount val="24"/>
                <c:pt idx="0">
                  <c:v>0</c:v>
                </c:pt>
                <c:pt idx="1">
                  <c:v>0</c:v>
                </c:pt>
                <c:pt idx="2">
                  <c:v>0</c:v>
                </c:pt>
                <c:pt idx="3">
                  <c:v>0</c:v>
                </c:pt>
                <c:pt idx="4">
                  <c:v>0</c:v>
                </c:pt>
                <c:pt idx="5">
                  <c:v>0</c:v>
                </c:pt>
                <c:pt idx="6">
                  <c:v>11250</c:v>
                </c:pt>
                <c:pt idx="7">
                  <c:v>22500</c:v>
                </c:pt>
                <c:pt idx="8">
                  <c:v>31500</c:v>
                </c:pt>
                <c:pt idx="9">
                  <c:v>31500</c:v>
                </c:pt>
                <c:pt idx="10">
                  <c:v>29250</c:v>
                </c:pt>
                <c:pt idx="11">
                  <c:v>27000</c:v>
                </c:pt>
                <c:pt idx="12">
                  <c:v>24750</c:v>
                </c:pt>
                <c:pt idx="13">
                  <c:v>22500</c:v>
                </c:pt>
                <c:pt idx="14">
                  <c:v>20250</c:v>
                </c:pt>
                <c:pt idx="15">
                  <c:v>18000</c:v>
                </c:pt>
                <c:pt idx="16">
                  <c:v>15750</c:v>
                </c:pt>
                <c:pt idx="17">
                  <c:v>18000</c:v>
                </c:pt>
                <c:pt idx="18">
                  <c:v>13500</c:v>
                </c:pt>
                <c:pt idx="19">
                  <c:v>9000</c:v>
                </c:pt>
                <c:pt idx="20">
                  <c:v>4500</c:v>
                </c:pt>
                <c:pt idx="21">
                  <c:v>0</c:v>
                </c:pt>
                <c:pt idx="22">
                  <c:v>0</c:v>
                </c:pt>
                <c:pt idx="23">
                  <c:v>0</c:v>
                </c:pt>
              </c:numCache>
            </c:numRef>
          </c:val>
          <c:smooth val="0"/>
        </c:ser>
        <c:ser>
          <c:idx val="0"/>
          <c:order val="2"/>
          <c:tx>
            <c:v>Cold temp</c:v>
          </c:tx>
          <c:spPr>
            <a:ln w="127000"/>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Type'!$C$59:$C$82</c:f>
              <c:numCache>
                <c:formatCode>General</c:formatCode>
                <c:ptCount val="24"/>
                <c:pt idx="0">
                  <c:v>1</c:v>
                </c:pt>
                <c:pt idx="1">
                  <c:v>1</c:v>
                </c:pt>
                <c:pt idx="2">
                  <c:v>1</c:v>
                </c:pt>
                <c:pt idx="3">
                  <c:v>1</c:v>
                </c:pt>
                <c:pt idx="4">
                  <c:v>1</c:v>
                </c:pt>
                <c:pt idx="5">
                  <c:v>1</c:v>
                </c:pt>
                <c:pt idx="18">
                  <c:v>1</c:v>
                </c:pt>
                <c:pt idx="19">
                  <c:v>1</c:v>
                </c:pt>
                <c:pt idx="20">
                  <c:v>1</c:v>
                </c:pt>
                <c:pt idx="21">
                  <c:v>1</c:v>
                </c:pt>
                <c:pt idx="22">
                  <c:v>1</c:v>
                </c:pt>
                <c:pt idx="23">
                  <c:v>1</c:v>
                </c:pt>
              </c:numCache>
            </c:numRef>
          </c:val>
          <c:smooth val="0"/>
        </c:ser>
        <c:ser>
          <c:idx val="4"/>
          <c:order val="3"/>
          <c:tx>
            <c:v>Pollen flow</c:v>
          </c:tx>
          <c:spPr>
            <a:ln w="127000">
              <a:solidFill>
                <a:srgbClr val="FFC000"/>
              </a:solidFill>
            </a:ln>
          </c:spPr>
          <c:marker>
            <c:symbol val="none"/>
          </c:marker>
          <c:cat>
            <c:numRef>
              <c:f>'Colony Type'!$E$31:$E$54</c:f>
              <c:numCache>
                <c:formatCode>[$-409]d\-mmm;@</c:formatCode>
                <c:ptCount val="24"/>
                <c:pt idx="0">
                  <c:v>40544</c:v>
                </c:pt>
                <c:pt idx="1">
                  <c:v>40558</c:v>
                </c:pt>
                <c:pt idx="2">
                  <c:v>40575</c:v>
                </c:pt>
                <c:pt idx="3">
                  <c:v>40589</c:v>
                </c:pt>
                <c:pt idx="4">
                  <c:v>40603</c:v>
                </c:pt>
                <c:pt idx="5">
                  <c:v>40617</c:v>
                </c:pt>
                <c:pt idx="6">
                  <c:v>40634</c:v>
                </c:pt>
                <c:pt idx="7">
                  <c:v>40648</c:v>
                </c:pt>
                <c:pt idx="8">
                  <c:v>40664</c:v>
                </c:pt>
                <c:pt idx="9">
                  <c:v>40678</c:v>
                </c:pt>
                <c:pt idx="10">
                  <c:v>40695</c:v>
                </c:pt>
                <c:pt idx="11">
                  <c:v>40709</c:v>
                </c:pt>
                <c:pt idx="12">
                  <c:v>40725</c:v>
                </c:pt>
                <c:pt idx="13">
                  <c:v>40739</c:v>
                </c:pt>
                <c:pt idx="14">
                  <c:v>40756</c:v>
                </c:pt>
                <c:pt idx="15">
                  <c:v>40770</c:v>
                </c:pt>
                <c:pt idx="16">
                  <c:v>40787</c:v>
                </c:pt>
                <c:pt idx="17">
                  <c:v>40801</c:v>
                </c:pt>
                <c:pt idx="18">
                  <c:v>40817</c:v>
                </c:pt>
                <c:pt idx="19">
                  <c:v>40831</c:v>
                </c:pt>
                <c:pt idx="20">
                  <c:v>40848</c:v>
                </c:pt>
                <c:pt idx="21">
                  <c:v>40862</c:v>
                </c:pt>
                <c:pt idx="22">
                  <c:v>40878</c:v>
                </c:pt>
                <c:pt idx="23">
                  <c:v>40892</c:v>
                </c:pt>
              </c:numCache>
            </c:numRef>
          </c:cat>
          <c:val>
            <c:numRef>
              <c:f>'Colony Type'!$D$31:$D$54</c:f>
              <c:numCache>
                <c:formatCode>General</c:formatCode>
                <c:ptCount val="24"/>
                <c:pt idx="6">
                  <c:v>1</c:v>
                </c:pt>
                <c:pt idx="7">
                  <c:v>1</c:v>
                </c:pt>
                <c:pt idx="8">
                  <c:v>1</c:v>
                </c:pt>
                <c:pt idx="9">
                  <c:v>1</c:v>
                </c:pt>
                <c:pt idx="10">
                  <c:v>1</c:v>
                </c:pt>
                <c:pt idx="11">
                  <c:v>1</c:v>
                </c:pt>
                <c:pt idx="12">
                  <c:v>1</c:v>
                </c:pt>
                <c:pt idx="13">
                  <c:v>1</c:v>
                </c:pt>
                <c:pt idx="14">
                  <c:v>1</c:v>
                </c:pt>
                <c:pt idx="15">
                  <c:v>1</c:v>
                </c:pt>
              </c:numCache>
            </c:numRef>
          </c:val>
          <c:smooth val="0"/>
        </c:ser>
        <c:dLbls>
          <c:showLegendKey val="0"/>
          <c:showVal val="0"/>
          <c:showCatName val="0"/>
          <c:showSerName val="0"/>
          <c:showPercent val="0"/>
          <c:showBubbleSize val="0"/>
        </c:dLbls>
        <c:marker val="1"/>
        <c:smooth val="0"/>
        <c:axId val="235982208"/>
        <c:axId val="235992192"/>
      </c:lineChart>
      <c:dateAx>
        <c:axId val="235982208"/>
        <c:scaling>
          <c:orientation val="minMax"/>
        </c:scaling>
        <c:delete val="0"/>
        <c:axPos val="b"/>
        <c:numFmt formatCode="[$-409]d\-mmm;@" sourceLinked="1"/>
        <c:majorTickMark val="cross"/>
        <c:minorTickMark val="none"/>
        <c:tickLblPos val="nextTo"/>
        <c:txPr>
          <a:bodyPr/>
          <a:lstStyle/>
          <a:p>
            <a:pPr>
              <a:defRPr b="1"/>
            </a:pPr>
            <a:endParaRPr lang="en-US"/>
          </a:p>
        </c:txPr>
        <c:crossAx val="235992192"/>
        <c:crosses val="autoZero"/>
        <c:auto val="1"/>
        <c:lblOffset val="100"/>
        <c:baseTimeUnit val="days"/>
      </c:dateAx>
      <c:valAx>
        <c:axId val="235992192"/>
        <c:scaling>
          <c:orientation val="minMax"/>
          <c:max val="60000"/>
        </c:scaling>
        <c:delete val="0"/>
        <c:axPos val="l"/>
        <c:majorGridlines/>
        <c:title>
          <c:tx>
            <c:rich>
              <a:bodyPr rot="-5400000" vert="horz"/>
              <a:lstStyle/>
              <a:p>
                <a:pPr>
                  <a:defRPr sz="1200" b="0"/>
                </a:pPr>
                <a:r>
                  <a:rPr lang="en-US" sz="1200" b="0"/>
                  <a:t>Number of bees</a:t>
                </a:r>
                <a:r>
                  <a:rPr lang="en-US" sz="1200" b="0" baseline="0"/>
                  <a:t> or cells of</a:t>
                </a:r>
                <a:r>
                  <a:rPr lang="en-US" sz="1200" b="0"/>
                  <a:t> brood</a:t>
                </a:r>
              </a:p>
            </c:rich>
          </c:tx>
          <c:layout>
            <c:manualLayout>
              <c:xMode val="edge"/>
              <c:yMode val="edge"/>
              <c:x val="1.125073884427907E-2"/>
              <c:y val="0.19237848906232818"/>
            </c:manualLayout>
          </c:layout>
          <c:overlay val="0"/>
        </c:title>
        <c:numFmt formatCode="#,##0" sourceLinked="0"/>
        <c:majorTickMark val="out"/>
        <c:minorTickMark val="none"/>
        <c:tickLblPos val="nextTo"/>
        <c:txPr>
          <a:bodyPr/>
          <a:lstStyle/>
          <a:p>
            <a:pPr>
              <a:defRPr sz="800"/>
            </a:pPr>
            <a:endParaRPr lang="en-US"/>
          </a:p>
        </c:txPr>
        <c:crossAx val="235982208"/>
        <c:crosses val="autoZero"/>
        <c:crossBetween val="midCat"/>
      </c:valAx>
    </c:plotArea>
    <c:legend>
      <c:legendPos val="r"/>
      <c:layout>
        <c:manualLayout>
          <c:xMode val="edge"/>
          <c:yMode val="edge"/>
          <c:x val="0.11786102598671905"/>
          <c:y val="5.0022794769701416E-2"/>
          <c:w val="0.26473058514862957"/>
          <c:h val="0.41827479609516421"/>
        </c:manualLayout>
      </c:layout>
      <c:overlay val="0"/>
      <c:spPr>
        <a:noFill/>
        <a:ln>
          <a:solidFill>
            <a:schemeClr val="tx1"/>
          </a:solidFill>
        </a:ln>
      </c:spPr>
    </c:legend>
    <c:plotVisOnly val="1"/>
    <c:dispBlanksAs val="gap"/>
    <c:showDLblsOverMax val="0"/>
  </c:chart>
  <c:spPr>
    <a:solidFill>
      <a:schemeClr val="bg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1.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366889</xdr:colOff>
      <xdr:row>2</xdr:row>
      <xdr:rowOff>484188</xdr:rowOff>
    </xdr:from>
    <xdr:to>
      <xdr:col>29</xdr:col>
      <xdr:colOff>63499</xdr:colOff>
      <xdr:row>18</xdr:row>
      <xdr:rowOff>148167</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66043" y="10790767"/>
          <a:ext cx="2561433" cy="318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138</xdr:col>
      <xdr:colOff>0</xdr:colOff>
      <xdr:row>59</xdr:row>
      <xdr:rowOff>63500</xdr:rowOff>
    </xdr:from>
    <xdr:to>
      <xdr:col>156</xdr:col>
      <xdr:colOff>592665</xdr:colOff>
      <xdr:row>66</xdr:row>
      <xdr:rowOff>31750</xdr:rowOff>
    </xdr:to>
    <xdr:sp macro="" textlink="">
      <xdr:nvSpPr>
        <xdr:cNvPr id="5" name="TextBox 4"/>
        <xdr:cNvSpPr txBox="1"/>
      </xdr:nvSpPr>
      <xdr:spPr>
        <a:xfrm>
          <a:off x="68713350" y="10655300"/>
          <a:ext cx="11917890" cy="1101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142</xdr:col>
      <xdr:colOff>42333</xdr:colOff>
      <xdr:row>64</xdr:row>
      <xdr:rowOff>116417</xdr:rowOff>
    </xdr:from>
    <xdr:ext cx="184731" cy="264560"/>
    <xdr:sp macro="" textlink="">
      <xdr:nvSpPr>
        <xdr:cNvPr id="6" name="TextBox 5"/>
        <xdr:cNvSpPr txBox="1"/>
      </xdr:nvSpPr>
      <xdr:spPr>
        <a:xfrm>
          <a:off x="71546508" y="115178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8" name="TextBox 7"/>
        <xdr:cNvSpPr txBox="1"/>
      </xdr:nvSpPr>
      <xdr:spPr>
        <a:xfrm>
          <a:off x="4267200" y="3890786"/>
          <a:ext cx="12615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67</xdr:col>
      <xdr:colOff>539750</xdr:colOff>
      <xdr:row>78</xdr:row>
      <xdr:rowOff>74083</xdr:rowOff>
    </xdr:from>
    <xdr:to>
      <xdr:col>74</xdr:col>
      <xdr:colOff>31750</xdr:colOff>
      <xdr:row>80</xdr:row>
      <xdr:rowOff>84667</xdr:rowOff>
    </xdr:to>
    <xdr:cxnSp macro="">
      <xdr:nvCxnSpPr>
        <xdr:cNvPr id="9" name="Straight Arrow Connector 8"/>
        <xdr:cNvCxnSpPr/>
      </xdr:nvCxnSpPr>
      <xdr:spPr>
        <a:xfrm flipH="1" flipV="1">
          <a:off x="19008725" y="13742458"/>
          <a:ext cx="4035425"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84</xdr:col>
      <xdr:colOff>190500</xdr:colOff>
      <xdr:row>86</xdr:row>
      <xdr:rowOff>83344</xdr:rowOff>
    </xdr:from>
    <xdr:to>
      <xdr:col>94</xdr:col>
      <xdr:colOff>451909</xdr:colOff>
      <xdr:row>106</xdr:row>
      <xdr:rowOff>98425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49389</xdr:rowOff>
    </xdr:from>
    <xdr:to>
      <xdr:col>28</xdr:col>
      <xdr:colOff>352777</xdr:colOff>
      <xdr:row>2</xdr:row>
      <xdr:rowOff>417915</xdr:rowOff>
    </xdr:to>
    <xdr:sp macro="" textlink="">
      <xdr:nvSpPr>
        <xdr:cNvPr id="14" name="TextBox 13"/>
        <xdr:cNvSpPr txBox="1"/>
      </xdr:nvSpPr>
      <xdr:spPr>
        <a:xfrm>
          <a:off x="183444" y="49389"/>
          <a:ext cx="10985500" cy="6930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Randy's Varroa Model v 19.  Best</a:t>
          </a:r>
          <a:r>
            <a:rPr lang="en-US" sz="1200" b="1" baseline="0"/>
            <a:t> run  in</a:t>
          </a:r>
          <a:r>
            <a:rPr lang="en-US" sz="1200" b="1"/>
            <a:t> Excel.  Set zoom (lower right) to 90%, then view in "Full screen."  Input starting values into  green cells</a:t>
          </a:r>
          <a:r>
            <a:rPr lang="en-US" sz="1200" b="1" baseline="0"/>
            <a:t> for </a:t>
          </a:r>
          <a:r>
            <a:rPr lang="en-US" sz="1200" b="1"/>
            <a:t>Colony Type, a</a:t>
          </a:r>
          <a:r>
            <a:rPr lang="en-US" sz="1200" b="1" baseline="0"/>
            <a:t>nd Mite Immigration (described in their respective tabs), and </a:t>
          </a:r>
          <a:r>
            <a:rPr lang="en-US" sz="1200" b="1" i="1" baseline="0"/>
            <a:t>then adjust your</a:t>
          </a:r>
          <a:r>
            <a:rPr lang="en-US" sz="1200" b="1" i="1"/>
            <a:t> starting</a:t>
          </a:r>
          <a:r>
            <a:rPr lang="en-US" sz="1200" b="1" i="1" baseline="0"/>
            <a:t> m</a:t>
          </a:r>
          <a:r>
            <a:rPr lang="en-US" sz="1200" b="1" i="1"/>
            <a:t>ite population to match your measured</a:t>
          </a:r>
          <a:r>
            <a:rPr lang="en-US" sz="1200" b="1" i="1" baseline="0"/>
            <a:t> </a:t>
          </a:r>
          <a:r>
            <a:rPr lang="en-US" sz="1200" b="1" i="1"/>
            <a:t>alcohol wash count at any date.  </a:t>
          </a:r>
          <a:r>
            <a:rPr lang="en-US" sz="1200" b="1" i="0"/>
            <a:t>In</a:t>
          </a:r>
          <a:r>
            <a:rPr lang="en-US" sz="1100" b="1" baseline="0">
              <a:solidFill>
                <a:schemeClr val="dk1"/>
              </a:solidFill>
              <a:effectLst/>
              <a:latin typeface="+mn-lt"/>
              <a:ea typeface="+mn-ea"/>
              <a:cs typeface="+mn-cs"/>
            </a:rPr>
            <a:t> order to plan your mite management strategy, t</a:t>
          </a:r>
          <a:r>
            <a:rPr lang="en-US" sz="1200" b="1"/>
            <a:t>hen</a:t>
          </a:r>
          <a:r>
            <a:rPr lang="en-US" sz="1200" b="1" baseline="0"/>
            <a:t> enter mite reductions from treatment into the horizontal yellow cells by date .  For advanced users,  c</a:t>
          </a:r>
          <a:r>
            <a:rPr lang="en-US" sz="1200" b="1"/>
            <a:t>ustomization</a:t>
          </a:r>
          <a:r>
            <a:rPr lang="en-US" sz="1200" b="1" baseline="0"/>
            <a:t> details to right.</a:t>
          </a:r>
          <a:endParaRPr lang="en-US" sz="1200" b="1"/>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7" name="TextBox 16"/>
        <xdr:cNvSpPr txBox="1"/>
      </xdr:nvSpPr>
      <xdr:spPr>
        <a:xfrm>
          <a:off x="8664222" y="931333"/>
          <a:ext cx="1583971"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8" name="TextBox 17"/>
        <xdr:cNvSpPr txBox="1"/>
      </xdr:nvSpPr>
      <xdr:spPr>
        <a:xfrm>
          <a:off x="183444" y="4903611"/>
          <a:ext cx="10999612" cy="719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9" name="TextBox 18"/>
        <xdr:cNvSpPr txBox="1"/>
      </xdr:nvSpPr>
      <xdr:spPr>
        <a:xfrm>
          <a:off x="5679722" y="5651500"/>
          <a:ext cx="6279445" cy="6561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29</xdr:col>
      <xdr:colOff>253998</xdr:colOff>
      <xdr:row>1</xdr:row>
      <xdr:rowOff>119943</xdr:rowOff>
    </xdr:from>
    <xdr:to>
      <xdr:col>50</xdr:col>
      <xdr:colOff>239889</xdr:colOff>
      <xdr:row>28</xdr:row>
      <xdr:rowOff>0</xdr:rowOff>
    </xdr:to>
    <xdr:sp macro="" textlink="">
      <xdr:nvSpPr>
        <xdr:cNvPr id="20" name="TextBox 19"/>
        <xdr:cNvSpPr txBox="1"/>
      </xdr:nvSpPr>
      <xdr:spPr>
        <a:xfrm>
          <a:off x="11437054" y="282221"/>
          <a:ext cx="7443613" cy="52281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After two decades struggling  with varroa, I realized that I needed to deeply</a:t>
          </a:r>
          <a:r>
            <a:rPr lang="en-US" sz="1100" baseline="0"/>
            <a:t> understand varroa population dynamics, relative to climate, colony strength and amount of brood, mite influx from drift, and the ability of bees to affect varroa reproductive success.  To that end I reviewed nearly every published study on varroa, and spent a year creating an accurate predictive model of varroa buildup  in a colony, and the effects of treatments, swarming, and other management techniques -- confirmed by alcohol wash data from my own commercial operation, as well as feedback from beekeepers worldwide.    </a:t>
          </a:r>
        </a:p>
        <a:p>
          <a:endParaRPr lang="en-US" sz="1100" baseline="0"/>
        </a:p>
        <a:p>
          <a:r>
            <a:rPr lang="en-US" sz="1100" baseline="0"/>
            <a:t>I created this model to be user-friendly to the beekeper, yet  of use to bee biologists.  </a:t>
          </a:r>
          <a:r>
            <a:rPr lang="en-US" sz="1100" baseline="0">
              <a:solidFill>
                <a:schemeClr val="dk1"/>
              </a:solidFill>
              <a:effectLst/>
              <a:latin typeface="+mn-lt"/>
              <a:ea typeface="+mn-ea"/>
              <a:cs typeface="+mn-cs"/>
            </a:rPr>
            <a:t>This simple model makes roughly 1500 calculations each time you enter a value, and is fully customizable.  I </a:t>
          </a:r>
          <a:r>
            <a:rPr lang="en-US" sz="1100" baseline="0"/>
            <a:t> continually  revise and update this model, so always use the latest version.  </a:t>
          </a:r>
        </a:p>
        <a:p>
          <a:endParaRPr lang="en-US" sz="1100"/>
        </a:p>
        <a:p>
          <a:r>
            <a:rPr lang="en-US" sz="1100" b="1"/>
            <a:t>Basic assumptions, adjustments, and calculations for r values </a:t>
          </a:r>
        </a:p>
        <a:p>
          <a:endParaRPr lang="en-US" sz="1100"/>
        </a:p>
        <a:p>
          <a:r>
            <a:rPr lang="en-US" sz="1100"/>
            <a:t>Since is is nearly</a:t>
          </a:r>
          <a:r>
            <a:rPr lang="en-US" sz="1100" baseline="0"/>
            <a:t> impossible to accurately predict the precise effects of varroa and virus buildup upon colony population dynamics, the </a:t>
          </a:r>
          <a:r>
            <a:rPr lang="en-US" sz="1100"/>
            <a:t>model assumes  that mites will be managed to never exceed  a level that affects the colony.</a:t>
          </a:r>
          <a:r>
            <a:rPr lang="en-US" sz="1100" baseline="0"/>
            <a:t>  I made no attempt to reflect the effect of mite buildup upon  colony health, other than the eventual crash of the colony.</a:t>
          </a:r>
          <a:r>
            <a:rPr lang="en-US" sz="1100"/>
            <a:t>   My own field data  indicate that a proportion of colonies  will exhibit mite  buildup rates far outside the mean (either way)--thus please assume that the simulations reflect median values</a:t>
          </a:r>
        </a:p>
        <a:p>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The basic assumption of the model is that the rate of cell invasion by foundress mites is a matter of chance, dependent upon the ratio of 5-day larvae to adult bees.  I used Willem Boot's data to arrive at a basic regression equation, (see the comment at the top of column BX), and then drew most of my other variables from the excellent model proposed by Stephen Martin,</a:t>
          </a:r>
          <a:r>
            <a:rPr lang="en-US" sz="1100" baseline="0"/>
            <a:t> </a:t>
          </a:r>
          <a:r>
            <a:rPr lang="en-US" sz="1100"/>
            <a:t>to whom I'm immensely appreciative) ,</a:t>
          </a:r>
          <a:r>
            <a:rPr lang="en-US" sz="1100" baseline="0"/>
            <a:t> and </a:t>
          </a:r>
          <a:r>
            <a:rPr lang="en-US" sz="1100"/>
            <a:t>added mite immigration and exodus.   </a:t>
          </a:r>
          <a:r>
            <a:rPr lang="en-US" sz="1100">
              <a:solidFill>
                <a:schemeClr val="dk1"/>
              </a:solidFill>
              <a:effectLst/>
              <a:latin typeface="+mn-lt"/>
              <a:ea typeface="+mn-ea"/>
              <a:cs typeface="+mn-cs"/>
            </a:rPr>
            <a:t>The root assumption is that foundress mites invade cells at the rate of y=-5*ln(x)+5,with x being the brood: adult bee ratio, and y equaling the number of days of phoresy.  </a:t>
          </a:r>
          <a:r>
            <a:rPr lang="en-US" sz="1100"/>
            <a:t> I further used data from Lloyd Harris and Katie Lee to come up with additional values, and then tested the model against my own field data, as well as data from Jeff Harris, Bob Danka (and all) from the Baton Rouge lab, Eva Frey, and a number of other researchers to whom I owe a great debt of gratitude.   I've added explanatory comments to a number of cells.</a:t>
          </a:r>
        </a:p>
        <a:p>
          <a:pPr marL="0" marR="0" indent="0" defTabSz="914400" eaLnBrk="1" fontAlgn="auto" latinLnBrk="0" hangingPunct="1">
            <a:lnSpc>
              <a:spcPct val="100000"/>
            </a:lnSpc>
            <a:spcBef>
              <a:spcPts val="0"/>
            </a:spcBef>
            <a:spcAft>
              <a:spcPts val="0"/>
            </a:spcAft>
            <a:buClrTx/>
            <a:buSzTx/>
            <a:buFontTx/>
            <a:buNone/>
            <a:tabLst/>
            <a:defRPr/>
          </a:pPr>
          <a:endParaRPr lang="en-US" sz="1100"/>
        </a:p>
        <a:p>
          <a:pPr marL="0" marR="0" indent="0" defTabSz="914400" eaLnBrk="1" fontAlgn="auto" latinLnBrk="0" hangingPunct="1">
            <a:lnSpc>
              <a:spcPct val="100000"/>
            </a:lnSpc>
            <a:spcBef>
              <a:spcPts val="0"/>
            </a:spcBef>
            <a:spcAft>
              <a:spcPts val="0"/>
            </a:spcAft>
            <a:buClrTx/>
            <a:buSzTx/>
            <a:buFontTx/>
            <a:buNone/>
            <a:tabLst/>
            <a:defRPr/>
          </a:pPr>
          <a:r>
            <a:rPr lang="en-US" sz="1100"/>
            <a:t>I offer this model to the beekeeping and scientific</a:t>
          </a:r>
          <a:r>
            <a:rPr lang="en-US" sz="1100" baseline="0"/>
            <a:t> community, and invite suggestions for improvement.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Randy Oliver</a:t>
          </a:r>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2" name="TextBox 1"/>
        <xdr:cNvSpPr txBox="1"/>
      </xdr:nvSpPr>
      <xdr:spPr>
        <a:xfrm>
          <a:off x="3556000" y="910167"/>
          <a:ext cx="4720167"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61</xdr:row>
      <xdr:rowOff>79375</xdr:rowOff>
    </xdr:to>
    <xdr:sp macro="" textlink="">
      <xdr:nvSpPr>
        <xdr:cNvPr id="4" name="TextBox 3"/>
        <xdr:cNvSpPr txBox="1"/>
      </xdr:nvSpPr>
      <xdr:spPr>
        <a:xfrm>
          <a:off x="5654147" y="6461124"/>
          <a:ext cx="6259159" cy="477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200" b="1">
              <a:solidFill>
                <a:srgbClr val="0070C0"/>
              </a:solidFill>
              <a:effectLst/>
              <a:latin typeface="+mn-lt"/>
              <a:ea typeface="+mn-ea"/>
              <a:cs typeface="+mn-cs"/>
            </a:rPr>
            <a:t>High-efficacy synthetic miticide, </a:t>
          </a:r>
          <a:r>
            <a:rPr lang="en-US" sz="1100">
              <a:solidFill>
                <a:schemeClr val="dk1"/>
              </a:solidFill>
              <a:effectLst/>
              <a:latin typeface="+mn-lt"/>
              <a:ea typeface="+mn-ea"/>
              <a:cs typeface="+mn-cs"/>
            </a:rPr>
            <a:t>such as amitraz  (Apivar)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200" b="1">
              <a:solidFill>
                <a:srgbClr val="0070C0"/>
              </a:solidFill>
              <a:effectLst/>
              <a:latin typeface="+mn-lt"/>
              <a:ea typeface="+mn-ea"/>
              <a:cs typeface="+mn-cs"/>
            </a:rPr>
            <a:t>Two 50-g Apiguard </a:t>
          </a:r>
          <a:r>
            <a:rPr lang="en-US" sz="1100">
              <a:solidFill>
                <a:schemeClr val="dk1"/>
              </a:solidFill>
              <a:effectLst/>
              <a:latin typeface="+mn-lt"/>
              <a:ea typeface="+mn-ea"/>
              <a:cs typeface="+mn-cs"/>
            </a:rPr>
            <a:t>(or three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Apilife</a:t>
          </a:r>
          <a:r>
            <a:rPr lang="en-US" sz="1100" baseline="0">
              <a:solidFill>
                <a:schemeClr val="dk1"/>
              </a:solidFill>
              <a:effectLst/>
              <a:latin typeface="+mn-lt"/>
              <a:ea typeface="+mn-ea"/>
              <a:cs typeface="+mn-cs"/>
            </a:rPr>
            <a:t> Var) </a:t>
          </a:r>
          <a:r>
            <a:rPr lang="en-US" sz="1100">
              <a:solidFill>
                <a:schemeClr val="dk1"/>
              </a:solidFill>
              <a:effectLst/>
              <a:latin typeface="+mn-lt"/>
              <a:ea typeface="+mn-ea"/>
              <a:cs typeface="+mn-cs"/>
            </a:rPr>
            <a:t> treatments at 10 days, in a rim.  </a:t>
          </a:r>
          <a:r>
            <a:rPr lang="en-US" sz="1100">
              <a:solidFill>
                <a:srgbClr val="FF0000"/>
              </a:solidFill>
              <a:effectLst/>
              <a:latin typeface="+mn-lt"/>
              <a:ea typeface="+mn-ea"/>
              <a:cs typeface="+mn-cs"/>
            </a:rPr>
            <a:t>Best used in August, as thymol</a:t>
          </a:r>
          <a:r>
            <a:rPr lang="en-US" sz="1100" baseline="0">
              <a:solidFill>
                <a:srgbClr val="FF0000"/>
              </a:solidFill>
              <a:effectLst/>
              <a:latin typeface="+mn-lt"/>
              <a:ea typeface="+mn-ea"/>
              <a:cs typeface="+mn-cs"/>
            </a:rPr>
            <a:t> </a:t>
          </a:r>
          <a:r>
            <a:rPr lang="en-US" sz="1100">
              <a:solidFill>
                <a:srgbClr val="FF0000"/>
              </a:solidFill>
              <a:effectLst/>
              <a:latin typeface="+mn-lt"/>
              <a:ea typeface="+mn-ea"/>
              <a:cs typeface="+mn-cs"/>
            </a:rPr>
            <a:t>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a:t>
          </a:r>
          <a:r>
            <a:rPr lang="en-US" sz="1200" b="1">
              <a:solidFill>
                <a:srgbClr val="0070C0"/>
              </a:solidFill>
              <a:effectLst/>
              <a:latin typeface="+mn-lt"/>
              <a:ea typeface="+mn-ea"/>
              <a:cs typeface="+mn-cs"/>
            </a:rPr>
            <a:t>2 MAQS or Formic Pro pads</a:t>
          </a:r>
          <a:r>
            <a:rPr lang="en-US" sz="1100">
              <a:solidFill>
                <a:schemeClr val="dk1"/>
              </a:solidFill>
              <a:effectLst/>
              <a:latin typeface="+mn-lt"/>
              <a:ea typeface="+mn-ea"/>
              <a:cs typeface="+mn-cs"/>
            </a:rPr>
            <a:t>,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200" b="1">
              <a:solidFill>
                <a:srgbClr val="0070C0"/>
              </a:solidFill>
              <a:effectLst/>
              <a:latin typeface="+mn-lt"/>
              <a:ea typeface="+mn-ea"/>
              <a:cs typeface="+mn-cs"/>
            </a:rPr>
            <a:t>1 MAQS or Formic Pro pad</a:t>
          </a:r>
          <a:r>
            <a:rPr lang="en-US" sz="1100">
              <a:solidFill>
                <a:schemeClr val="dk1"/>
              </a:solidFill>
              <a:effectLst/>
              <a:latin typeface="+mn-lt"/>
              <a:ea typeface="+mn-ea"/>
              <a:cs typeface="+mn-cs"/>
            </a:rPr>
            <a:t>,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200" b="1">
              <a:solidFill>
                <a:srgbClr val="0070C0"/>
              </a:solidFill>
              <a:effectLst/>
              <a:latin typeface="+mn-lt"/>
              <a:ea typeface="+mn-ea"/>
              <a:cs typeface="+mn-cs"/>
            </a:rPr>
            <a:t>Hopguard 3 if colony is broodless; </a:t>
          </a:r>
          <a:r>
            <a:rPr lang="en-US" sz="1100">
              <a:solidFill>
                <a:schemeClr val="dk1"/>
              </a:solidFill>
              <a:effectLst/>
              <a:latin typeface="+mn-lt"/>
              <a:ea typeface="+mn-ea"/>
              <a:cs typeface="+mn-cs"/>
            </a:rPr>
            <a:t>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200" b="1">
              <a:solidFill>
                <a:srgbClr val="0070C0"/>
              </a:solidFill>
              <a:effectLst/>
              <a:latin typeface="+mn-lt"/>
              <a:ea typeface="+mn-ea"/>
              <a:cs typeface="+mn-cs"/>
            </a:rPr>
            <a:t>A single powdered sugar dusting, </a:t>
          </a:r>
          <a:r>
            <a:rPr lang="en-US" sz="1100">
              <a:solidFill>
                <a:schemeClr val="dk1"/>
              </a:solidFill>
              <a:effectLst/>
              <a:latin typeface="+mn-lt"/>
              <a:ea typeface="+mn-ea"/>
              <a:cs typeface="+mn-cs"/>
            </a:rPr>
            <a:t>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200" b="1">
              <a:solidFill>
                <a:srgbClr val="0070C0"/>
              </a:solidFill>
              <a:effectLst/>
              <a:latin typeface="+mn-lt"/>
              <a:ea typeface="+mn-ea"/>
              <a:cs typeface="+mn-cs"/>
            </a:rPr>
            <a:t>Complete removal of drone brood</a:t>
          </a:r>
          <a:r>
            <a:rPr lang="en-US" sz="1100">
              <a:solidFill>
                <a:schemeClr val="dk1"/>
              </a:solidFill>
              <a:effectLst/>
              <a:latin typeface="+mn-lt"/>
              <a:ea typeface="+mn-ea"/>
              <a:cs typeface="+mn-cs"/>
            </a:rPr>
            <a:t>,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200" b="1">
              <a:solidFill>
                <a:srgbClr val="0070C0"/>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200" b="1">
              <a:solidFill>
                <a:srgbClr val="0070C0"/>
              </a:solidFill>
              <a:effectLst/>
              <a:latin typeface="+mn-lt"/>
              <a:ea typeface="+mn-ea"/>
              <a:cs typeface="+mn-cs"/>
            </a:rPr>
            <a:t>One Oxalic dribble or vaporization in hive containing brood</a:t>
          </a:r>
          <a:r>
            <a:rPr lang="en-US" sz="1100">
              <a:solidFill>
                <a:schemeClr val="dk1"/>
              </a:solidFill>
              <a:effectLst/>
              <a:latin typeface="+mn-lt"/>
              <a:ea typeface="+mn-ea"/>
              <a:cs typeface="+mn-cs"/>
            </a:rPr>
            <a:t>,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a:t>
          </a:r>
          <a:r>
            <a:rPr lang="en-US" sz="1200" b="1">
              <a:solidFill>
                <a:srgbClr val="0070C0"/>
              </a:solidFill>
              <a:effectLst/>
              <a:latin typeface="+mn-lt"/>
              <a:ea typeface="+mn-ea"/>
              <a:cs typeface="+mn-cs"/>
            </a:rPr>
            <a:t>Extended-release OA/glycerin sponges</a:t>
          </a:r>
          <a:r>
            <a:rPr lang="en-US" sz="1100" b="0">
              <a:solidFill>
                <a:schemeClr val="dk1"/>
              </a:solidFill>
              <a:effectLst/>
              <a:latin typeface="+mn-lt"/>
              <a:ea typeface="+mn-ea"/>
              <a:cs typeface="+mn-cs"/>
            </a:rPr>
            <a:t>;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r>
            <a:rPr lang="en-US" sz="1100" b="1">
              <a:solidFill>
                <a:schemeClr val="dk1"/>
              </a:solidFill>
              <a:effectLst/>
              <a:latin typeface="+mn-lt"/>
              <a:ea typeface="+mn-ea"/>
              <a:cs typeface="+mn-cs"/>
            </a:rPr>
            <a:t>~30%: </a:t>
          </a:r>
          <a:r>
            <a:rPr lang="en-US" sz="1200" b="1">
              <a:solidFill>
                <a:srgbClr val="0070C0"/>
              </a:solidFill>
              <a:effectLst/>
              <a:latin typeface="+mn-lt"/>
              <a:ea typeface="+mn-ea"/>
              <a:cs typeface="+mn-cs"/>
            </a:rPr>
            <a:t>The issuance of a prime spring swarm.  </a:t>
          </a:r>
          <a:r>
            <a:rPr lang="en-US" sz="1100">
              <a:solidFill>
                <a:schemeClr val="dk1"/>
              </a:solidFill>
              <a:effectLst/>
              <a:latin typeface="+mn-lt"/>
              <a:ea typeface="+mn-ea"/>
              <a:cs typeface="+mn-cs"/>
            </a:rPr>
            <a:t>Assume 80%</a:t>
          </a:r>
          <a:r>
            <a:rPr lang="en-US" sz="1100" baseline="0">
              <a:solidFill>
                <a:schemeClr val="dk1"/>
              </a:solidFill>
              <a:effectLst/>
              <a:latin typeface="+mn-lt"/>
              <a:ea typeface="+mn-ea"/>
              <a:cs typeface="+mn-cs"/>
            </a:rPr>
            <a:t> of mites in the brood, 70% of workers leave, 14 day brood break.</a:t>
          </a:r>
        </a:p>
        <a:p>
          <a:r>
            <a:rPr lang="en-US" sz="1100" b="1">
              <a:solidFill>
                <a:schemeClr val="tx1"/>
              </a:solidFill>
              <a:effectLst/>
              <a:latin typeface="+mn-lt"/>
              <a:ea typeface="+mn-ea"/>
              <a:cs typeface="+mn-cs"/>
            </a:rPr>
            <a:t>~50-55%:  </a:t>
          </a:r>
          <a:r>
            <a:rPr lang="en-US" sz="1200" b="1">
              <a:solidFill>
                <a:srgbClr val="0070C0"/>
              </a:solidFill>
              <a:effectLst/>
              <a:latin typeface="+mn-lt"/>
              <a:ea typeface="+mn-ea"/>
              <a:cs typeface="+mn-cs"/>
            </a:rPr>
            <a:t>An</a:t>
          </a:r>
          <a:r>
            <a:rPr lang="en-US" sz="1200" b="1" baseline="0">
              <a:solidFill>
                <a:srgbClr val="0070C0"/>
              </a:solidFill>
              <a:effectLst/>
              <a:latin typeface="+mn-lt"/>
              <a:ea typeface="+mn-ea"/>
              <a:cs typeface="+mn-cs"/>
            </a:rPr>
            <a:t> induced brood break by removing the queen or a "walkaway split."  </a:t>
          </a:r>
          <a:r>
            <a:rPr lang="en-US" sz="1100" b="0" baseline="0">
              <a:solidFill>
                <a:schemeClr val="tx1"/>
              </a:solidFill>
              <a:effectLst/>
              <a:latin typeface="+mn-lt"/>
              <a:ea typeface="+mn-ea"/>
              <a:cs typeface="+mn-cs"/>
            </a:rPr>
            <a:t>Assume a 26 day brood break.</a:t>
          </a:r>
          <a:endParaRPr lang="en-US" sz="1100" b="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200025</xdr:colOff>
      <xdr:row>10</xdr:row>
      <xdr:rowOff>141111</xdr:rowOff>
    </xdr:from>
    <xdr:to>
      <xdr:col>13</xdr:col>
      <xdr:colOff>504825</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123824</xdr:rowOff>
    </xdr:from>
    <xdr:to>
      <xdr:col>17</xdr:col>
      <xdr:colOff>590550</xdr:colOff>
      <xdr:row>9</xdr:row>
      <xdr:rowOff>0</xdr:rowOff>
    </xdr:to>
    <xdr:sp macro="" textlink="">
      <xdr:nvSpPr>
        <xdr:cNvPr id="3" name="TextBox 2"/>
        <xdr:cNvSpPr txBox="1"/>
      </xdr:nvSpPr>
      <xdr:spPr>
        <a:xfrm>
          <a:off x="85725" y="123824"/>
          <a:ext cx="11582400"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Varroa population dynamics</a:t>
          </a:r>
          <a:r>
            <a:rPr lang="en-US" sz="1100" baseline="0"/>
            <a:t> , greatly simplified, fall into one of two phases--buildup when brood is present; decline when brood is absent.  During the period of buildup, the mean r value for nonresistant stock is around 0.021/day; during winter cluster it is around -0.005/day.</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t>Thus, the longer the broodless period, the shorter the buildup phase, and the longer the decline phase.  For sustainability, the beekeeper must in some way bring the ending mite pop back down to the baseline .  For example, splitting the hive into three would reduce each split's overall mite load by 33%.  Or one can apply treatments.  In a  crude and simplified model such as this, the timing of treatments makes no difference, but can give you an idea of the degree of mite reduction s necessary (by whatever means) over the course of a season.  </a:t>
          </a:r>
          <a:r>
            <a:rPr lang="en-US" sz="1100" baseline="0">
              <a:solidFill>
                <a:schemeClr val="dk1"/>
              </a:solidFill>
              <a:effectLst/>
              <a:latin typeface="+mn-lt"/>
              <a:ea typeface="+mn-ea"/>
              <a:cs typeface="+mn-cs"/>
            </a:rPr>
            <a:t>In the  model below, you can enter values into any yellow cell.  </a:t>
          </a:r>
          <a:r>
            <a:rPr lang="en-US" sz="1100" b="1" baseline="0"/>
            <a:t>Refer to the "Current version" tab for a more complete model.</a:t>
          </a:r>
        </a:p>
        <a:p>
          <a:endParaRPr lang="en-US" sz="1100" baseline="0"/>
        </a:p>
      </xdr:txBody>
    </xdr:sp>
    <xdr:clientData/>
  </xdr:twoCellAnchor>
  <xdr:twoCellAnchor>
    <xdr:from>
      <xdr:col>3</xdr:col>
      <xdr:colOff>276224</xdr:colOff>
      <xdr:row>45</xdr:row>
      <xdr:rowOff>101600</xdr:rowOff>
    </xdr:from>
    <xdr:to>
      <xdr:col>11</xdr:col>
      <xdr:colOff>514349</xdr:colOff>
      <xdr:row>68</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10</xdr:row>
      <xdr:rowOff>0</xdr:rowOff>
    </xdr:from>
    <xdr:to>
      <xdr:col>27</xdr:col>
      <xdr:colOff>354741</xdr:colOff>
      <xdr:row>33</xdr:row>
      <xdr:rowOff>141646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11112500" y="1622778"/>
          <a:ext cx="7029297" cy="4212701"/>
        </a:xfrm>
        <a:prstGeom prst="rect">
          <a:avLst/>
        </a:prstGeom>
      </xdr:spPr>
    </xdr:pic>
    <xdr:clientData/>
  </xdr:twoCellAnchor>
  <xdr:twoCellAnchor>
    <xdr:from>
      <xdr:col>10</xdr:col>
      <xdr:colOff>352778</xdr:colOff>
      <xdr:row>34</xdr:row>
      <xdr:rowOff>155222</xdr:rowOff>
    </xdr:from>
    <xdr:to>
      <xdr:col>14</xdr:col>
      <xdr:colOff>141112</xdr:colOff>
      <xdr:row>41</xdr:row>
      <xdr:rowOff>155222</xdr:rowOff>
    </xdr:to>
    <xdr:sp macro="" textlink="">
      <xdr:nvSpPr>
        <xdr:cNvPr id="8" name="TextBox 7"/>
        <xdr:cNvSpPr txBox="1"/>
      </xdr:nvSpPr>
      <xdr:spPr>
        <a:xfrm>
          <a:off x="7824611" y="6011333"/>
          <a:ext cx="2215445" cy="1135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It's easy to see why varroa management is much more challenging in California, Texas, or Florida than it is in more northerly regions.</a:t>
          </a:r>
        </a:p>
      </xdr:txBody>
    </xdr:sp>
    <xdr:clientData/>
  </xdr:twoCellAnchor>
  <xdr:twoCellAnchor>
    <xdr:from>
      <xdr:col>16</xdr:col>
      <xdr:colOff>28222</xdr:colOff>
      <xdr:row>34</xdr:row>
      <xdr:rowOff>134056</xdr:rowOff>
    </xdr:from>
    <xdr:to>
      <xdr:col>27</xdr:col>
      <xdr:colOff>338666</xdr:colOff>
      <xdr:row>38</xdr:row>
      <xdr:rowOff>149087</xdr:rowOff>
    </xdr:to>
    <xdr:sp macro="" textlink="">
      <xdr:nvSpPr>
        <xdr:cNvPr id="9" name="TextBox 8"/>
        <xdr:cNvSpPr txBox="1"/>
      </xdr:nvSpPr>
      <xdr:spPr>
        <a:xfrm>
          <a:off x="11027526" y="6221773"/>
          <a:ext cx="7052488" cy="6279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Typical phoretic</a:t>
          </a:r>
          <a:r>
            <a:rPr lang="en-US" sz="1100" baseline="0"/>
            <a:t> mite infestation  rates for U.S. beekeepers, from Bee Informed Partnership, 2016.  Multiply values on the y axis by 3 for alcohol wash counts of 1/2 cup of bees.</a:t>
          </a:r>
          <a:endParaRPr lang="en-US" sz="1100"/>
        </a:p>
      </xdr:txBody>
    </xdr:sp>
    <xdr:clientData/>
  </xdr:twoCellAnchor>
</xdr:wsDr>
</file>

<file path=xl/drawings/drawing11.xml><?xml version="1.0" encoding="utf-8"?>
<c:userShapes xmlns:c="http://schemas.openxmlformats.org/drawingml/2006/chart">
  <cdr:relSizeAnchor xmlns:cdr="http://schemas.openxmlformats.org/drawingml/2006/chartDrawing">
    <cdr:from>
      <cdr:x>0.00331</cdr:x>
      <cdr:y>0.00482</cdr:y>
    </cdr:from>
    <cdr:to>
      <cdr:x>1</cdr:x>
      <cdr:y>0.17842</cdr:y>
    </cdr:to>
    <cdr:sp macro="" textlink="">
      <cdr:nvSpPr>
        <cdr:cNvPr id="2" name="TextBox 1"/>
        <cdr:cNvSpPr txBox="1"/>
      </cdr:nvSpPr>
      <cdr:spPr>
        <a:xfrm xmlns:a="http://schemas.openxmlformats.org/drawingml/2006/main">
          <a:off x="15521" y="18279"/>
          <a:ext cx="4677834" cy="6590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rtl="0"/>
          <a:r>
            <a:rPr lang="en-US" sz="1600" b="1" i="0" baseline="0">
              <a:effectLst/>
              <a:latin typeface="+mn-lt"/>
              <a:ea typeface="+mn-ea"/>
              <a:cs typeface="+mn-cs"/>
            </a:rPr>
            <a:t>Overall increase in mite population, relative to months of broodrearing and effect of treatment </a:t>
          </a:r>
          <a:endParaRPr lang="en-US" sz="1600">
            <a:effectLst/>
          </a:endParaRP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0</xdr:row>
      <xdr:rowOff>142872</xdr:rowOff>
    </xdr:from>
    <xdr:to>
      <xdr:col>15</xdr:col>
      <xdr:colOff>390525</xdr:colOff>
      <xdr:row>76</xdr:row>
      <xdr:rowOff>82550</xdr:rowOff>
    </xdr:to>
    <xdr:sp macro="" textlink="">
      <xdr:nvSpPr>
        <xdr:cNvPr id="2" name="TextBox 1"/>
        <xdr:cNvSpPr txBox="1"/>
      </xdr:nvSpPr>
      <xdr:spPr>
        <a:xfrm>
          <a:off x="609600" y="142872"/>
          <a:ext cx="8924925" cy="12004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V18:  I corrected</a:t>
          </a:r>
          <a:r>
            <a:rPr lang="en-US" sz="1100" baseline="0">
              <a:solidFill>
                <a:schemeClr val="dk1"/>
              </a:solidFill>
              <a:effectLst/>
              <a:latin typeface="+mn-lt"/>
              <a:ea typeface="+mn-ea"/>
              <a:cs typeface="+mn-cs"/>
            </a:rPr>
            <a:t> some typos that occurred when I switched the display of the graph.  I also reran my calcs for mite reduction due to swarming or brood break.</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Versions in Nov</a:t>
          </a:r>
          <a:r>
            <a:rPr lang="en-US" sz="1100" baseline="0">
              <a:solidFill>
                <a:schemeClr val="dk1"/>
              </a:solidFill>
              <a:effectLst/>
              <a:latin typeface="+mn-lt"/>
              <a:ea typeface="+mn-ea"/>
              <a:cs typeface="+mn-cs"/>
            </a:rPr>
            <a:t> 2020:  Moved mite immigration to a separate tab, corrected various minor errors.  Changed version numbering to numerals.  Named this one v15.</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26 Sep 2020 Corrected error for</a:t>
          </a:r>
          <a:r>
            <a:rPr lang="en-US" sz="1100" baseline="0">
              <a:solidFill>
                <a:schemeClr val="dk1"/>
              </a:solidFill>
              <a:effectLst/>
              <a:latin typeface="+mn-lt"/>
              <a:ea typeface="+mn-ea"/>
              <a:cs typeface="+mn-cs"/>
            </a:rPr>
            <a:t> x value in mite immigration.</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6 Jun 2020  Major revision of display</a:t>
          </a:r>
          <a:r>
            <a:rPr lang="en-US" sz="1100" baseline="0">
              <a:solidFill>
                <a:schemeClr val="dk1"/>
              </a:solidFill>
              <a:effectLst/>
              <a:latin typeface="+mn-lt"/>
              <a:ea typeface="+mn-ea"/>
              <a:cs typeface="+mn-cs"/>
            </a:rPr>
            <a:t> to make it more user friendly.</a:t>
          </a:r>
        </a:p>
        <a:p>
          <a:r>
            <a:rPr lang="en-US" sz="1100" baseline="0">
              <a:solidFill>
                <a:schemeClr val="dk1"/>
              </a:solidFill>
              <a:effectLst/>
              <a:latin typeface="+mn-lt"/>
              <a:ea typeface="+mn-ea"/>
              <a:cs typeface="+mn-cs"/>
            </a:rPr>
            <a:t>2018-2020 Minor revisions in updates, notably adding adjustment for reduction in mite reproduction due to various resistance mechanisms.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18 Nov</a:t>
          </a:r>
          <a:r>
            <a:rPr lang="en-US" sz="1100" baseline="0">
              <a:solidFill>
                <a:schemeClr val="dk1"/>
              </a:solidFill>
              <a:effectLst/>
              <a:latin typeface="+mn-lt"/>
              <a:ea typeface="+mn-ea"/>
              <a:cs typeface="+mn-cs"/>
            </a:rPr>
            <a:t> 2018  After collecting actual mite drift counts in my own apiary, I adusted the immigration levels.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Aug 2018  I added a colony model for Southern California.</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21 Jul 2018 Corrected a glitch in immigration.  Conversation</a:t>
          </a:r>
          <a:r>
            <a:rPr lang="en-US" sz="1100" baseline="0">
              <a:solidFill>
                <a:schemeClr val="dk1"/>
              </a:solidFill>
              <a:effectLst/>
              <a:latin typeface="+mn-lt"/>
              <a:ea typeface="+mn-ea"/>
              <a:cs typeface="+mn-cs"/>
            </a:rPr>
            <a:t> with BartJan Fernhout of Arista Bee Research and John Kefuss suggests that </a:t>
          </a:r>
          <a:r>
            <a:rPr lang="en-US" sz="1100" baseline="0">
              <a:solidFill>
                <a:srgbClr val="FF0000"/>
              </a:solidFill>
              <a:effectLst/>
              <a:latin typeface="+mn-lt"/>
              <a:ea typeface="+mn-ea"/>
              <a:cs typeface="+mn-cs"/>
            </a:rPr>
            <a:t>I may need to incorporate and increased foundress mortality along with increased VSH behavior</a:t>
          </a:r>
          <a:r>
            <a:rPr lang="en-US" sz="1100" baseline="0">
              <a:solidFill>
                <a:schemeClr val="dk1"/>
              </a:solidFill>
              <a:effectLst/>
              <a:latin typeface="+mn-lt"/>
              <a:ea typeface="+mn-ea"/>
              <a:cs typeface="+mn-cs"/>
            </a:rPr>
            <a:t>.  This may help to explain Kefuss's "black hole" colonies that clear themselves of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5 Apr 2018</a:t>
          </a:r>
          <a:r>
            <a:rPr lang="en-US" sz="1100" baseline="0">
              <a:solidFill>
                <a:schemeClr val="dk1"/>
              </a:solidFill>
              <a:effectLst/>
              <a:latin typeface="+mn-lt"/>
              <a:ea typeface="+mn-ea"/>
              <a:cs typeface="+mn-cs"/>
            </a:rPr>
            <a:t>  I fixed a problem with nucs and packages, which had previously been underestimating the rate of varroa growth due to the calculation for mite aging starting in January.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3 Apr 2018</a:t>
          </a:r>
          <a:r>
            <a:rPr lang="en-US" sz="1100" baseline="0">
              <a:solidFill>
                <a:schemeClr val="dk1"/>
              </a:solidFill>
              <a:effectLst/>
              <a:latin typeface="+mn-lt"/>
              <a:ea typeface="+mn-ea"/>
              <a:cs typeface="+mn-cs"/>
            </a:rPr>
            <a:t>  The r values were too high in the previous version,  so based upon Xie 2016, I changed the value for  "Infestation rate of outgoing bees relative to young adults in an alcohol wash at low mite levels."  I also caught an error in the VSH calculation.  Plus I adjusted the  numbers of daughters per foundress to reflect actual expected  r values.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 25 Mar</a:t>
          </a:r>
          <a:r>
            <a:rPr lang="en-US" sz="1100" baseline="0">
              <a:solidFill>
                <a:schemeClr val="dk1"/>
              </a:solidFill>
              <a:effectLst/>
              <a:latin typeface="+mn-lt"/>
              <a:ea typeface="+mn-ea"/>
              <a:cs typeface="+mn-cs"/>
            </a:rPr>
            <a:t> 2018 I deleted the adjustment for multiple foundresses in a cell, since the simulations assume that you will be controlling varroa--it takes roughly 3 foundresses per cell to decrease the mite's reproductive success (Martin 1995), so I eliminated these calcs.</a:t>
          </a:r>
        </a:p>
        <a:p>
          <a:r>
            <a:rPr lang="en-US" sz="1100">
              <a:solidFill>
                <a:schemeClr val="dk1"/>
              </a:solidFill>
              <a:effectLst/>
              <a:latin typeface="+mn-lt"/>
              <a:ea typeface="+mn-ea"/>
              <a:cs typeface="+mn-cs"/>
            </a:rPr>
            <a:t>I also modified</a:t>
          </a:r>
          <a:r>
            <a:rPr lang="en-US" sz="1100" baseline="0">
              <a:solidFill>
                <a:schemeClr val="dk1"/>
              </a:solidFill>
              <a:effectLst/>
              <a:latin typeface="+mn-lt"/>
              <a:ea typeface="+mn-ea"/>
              <a:cs typeface="+mn-cs"/>
            </a:rPr>
            <a:t> the adjustment for mite aging, since I realized that in any starting population of mites, a percentage of them would have already depleted their stored spermatozoa the previous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 Feb 2018 </a:t>
          </a:r>
          <a:r>
            <a:rPr lang="en-US" sz="1100" baseline="0">
              <a:solidFill>
                <a:schemeClr val="dk1"/>
              </a:solidFill>
              <a:effectLst/>
              <a:latin typeface="+mn-lt"/>
              <a:ea typeface="+mn-ea"/>
              <a:cs typeface="+mn-cs"/>
            </a:rPr>
            <a:t> I've added a new tab--Relative Rates of Increase.  This was to refute the misconception that the bees outrun the mites early in the season.</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8</a:t>
          </a:r>
          <a:r>
            <a:rPr lang="en-US" sz="1100" baseline="0">
              <a:solidFill>
                <a:schemeClr val="dk1"/>
              </a:solidFill>
              <a:effectLst/>
              <a:latin typeface="+mn-lt"/>
              <a:ea typeface="+mn-ea"/>
              <a:cs typeface="+mn-cs"/>
            </a:rPr>
            <a:t> Jan 2018</a:t>
          </a:r>
          <a:r>
            <a:rPr lang="en-US" sz="1100">
              <a:solidFill>
                <a:schemeClr val="dk1"/>
              </a:solidFill>
              <a:effectLst/>
              <a:latin typeface="+mn-lt"/>
              <a:ea typeface="+mn-ea"/>
              <a:cs typeface="+mn-cs"/>
            </a:rPr>
            <a:t>:  I added a</a:t>
          </a:r>
          <a:r>
            <a:rPr lang="en-US" sz="1100" baseline="0">
              <a:solidFill>
                <a:schemeClr val="dk1"/>
              </a:solidFill>
              <a:effectLst/>
              <a:latin typeface="+mn-lt"/>
              <a:ea typeface="+mn-ea"/>
              <a:cs typeface="+mn-cs"/>
            </a:rPr>
            <a:t> comment on the daily mortality of phoretic mites at V45.  I cleaned up  the mite immigration curves.  A few other minor improvements.  </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16 Dec 2017:  Moved the mite immigration total,</a:t>
          </a:r>
          <a:r>
            <a:rPr lang="en-US" sz="1100" baseline="0">
              <a:solidFill>
                <a:schemeClr val="dk1"/>
              </a:solidFill>
              <a:effectLst/>
              <a:latin typeface="+mn-lt"/>
              <a:ea typeface="+mn-ea"/>
              <a:cs typeface="+mn-cs"/>
            </a:rPr>
            <a:t> fixed a few other typos, corrected Southern Hemisphere dates, added VSH factor.  I also added the option to create your own mite immigration profile  at the top right of the Colony tab--my field data suggests that in my area, an immigration in September of 500 mites is a reasonable assumption, with some hives apparently suffering from immigration of over 2000 mites.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Version  12 Nov 2017: Added kill rates for oxalic vaporization, replaced the Basic Assumptions text box (which had</a:t>
          </a:r>
          <a:r>
            <a:rPr lang="en-US" sz="1100" baseline="0">
              <a:solidFill>
                <a:schemeClr val="dk1"/>
              </a:solidFill>
              <a:effectLst/>
              <a:latin typeface="+mn-lt"/>
              <a:ea typeface="+mn-ea"/>
              <a:cs typeface="+mn-cs"/>
            </a:rPr>
            <a:t> somehow disappeared)</a:t>
          </a:r>
          <a:endParaRPr lang="en-US" sz="1100"/>
        </a:p>
        <a:p>
          <a:endParaRPr lang="en-US" sz="1100"/>
        </a:p>
        <a:p>
          <a:r>
            <a:rPr lang="en-US" sz="1100"/>
            <a:t>Version 5 Nov 2017: I caught an error that</a:t>
          </a:r>
          <a:r>
            <a:rPr lang="en-US" sz="1100" baseline="0"/>
            <a:t> was undercalculating the r values.  I also added an input for the amount of VSH exhibited by your bee stock.</a:t>
          </a:r>
          <a:endParaRPr lang="en-US" sz="1100"/>
        </a:p>
        <a:p>
          <a:endParaRPr lang="en-US" sz="1100"/>
        </a:p>
        <a:p>
          <a:r>
            <a:rPr lang="en-US" sz="1100"/>
            <a:t>Version 15 October</a:t>
          </a:r>
          <a:r>
            <a:rPr lang="en-US" sz="1100" baseline="0"/>
            <a:t> 2017:  I realized that my calcs for percentage of drone brood was based upon area, not number of cells.  I corrected this.  Unfortunately, this change reduced the r values a bit</a:t>
          </a:r>
          <a:r>
            <a:rPr lang="en-US" sz="1100" baseline="0">
              <a:solidFill>
                <a:schemeClr val="tx1"/>
              </a:solidFill>
            </a:rPr>
            <a:t>.  This version of the model may  now underestimat mite buildup rates.  I also added the 31 Dec date, reworked the "crash" function, added a maximum value for the varroa count, modified the amounts of brood and bees in the Default and Randy colonies, changed the mite immigration rate settings, and corrected a couple of errors in linked cells.</a:t>
          </a:r>
          <a:endParaRPr lang="en-US" sz="1100"/>
        </a:p>
        <a:p>
          <a:endParaRPr lang="en-US" sz="1100"/>
        </a:p>
        <a:p>
          <a:r>
            <a:rPr lang="en-US" sz="1100"/>
            <a:t>Version 5 Oct 2017: Changed</a:t>
          </a:r>
          <a:r>
            <a:rPr lang="en-US" sz="1100" baseline="0"/>
            <a:t> column W to show net r value rather than potential reproductive increase.  Blanked out values in table if colony crash occurs.</a:t>
          </a:r>
        </a:p>
        <a:p>
          <a:endParaRPr lang="en-US" sz="1100"/>
        </a:p>
        <a:p>
          <a:r>
            <a:rPr lang="en-US" sz="1100">
              <a:solidFill>
                <a:schemeClr val="dk1"/>
              </a:solidFill>
              <a:effectLst/>
              <a:latin typeface="+mn-lt"/>
              <a:ea typeface="+mn-ea"/>
              <a:cs typeface="+mn-cs"/>
            </a:rPr>
            <a:t>Version  </a:t>
          </a:r>
          <a:r>
            <a:rPr lang="en-US" sz="1100"/>
            <a:t>1</a:t>
          </a:r>
          <a:r>
            <a:rPr lang="en-US" sz="1100" baseline="0"/>
            <a:t> Oct 2017: I improved the r value output by correcting my interval--changing it from the original 15 days, to the more accurate 15.20833 (365/24) days.  I also added more comments, plus a graph for the immigration values.</a:t>
          </a:r>
        </a:p>
        <a:p>
          <a:endParaRPr lang="en-US" sz="1100" baseline="0"/>
        </a:p>
        <a:p>
          <a:r>
            <a:rPr lang="en-US" sz="1100">
              <a:solidFill>
                <a:schemeClr val="dk1"/>
              </a:solidFill>
              <a:effectLst/>
              <a:latin typeface="+mn-lt"/>
              <a:ea typeface="+mn-ea"/>
              <a:cs typeface="+mn-cs"/>
            </a:rPr>
            <a:t>Version  </a:t>
          </a:r>
          <a:r>
            <a:rPr lang="en-US" sz="1100" baseline="0"/>
            <a:t>30 Sept 2017: I inserted comments throughout the Current Version page to explain inputs and calculations.</a:t>
          </a:r>
        </a:p>
        <a:p>
          <a:endParaRPr lang="en-US" sz="1100" baseline="0"/>
        </a:p>
        <a:p>
          <a:r>
            <a:rPr lang="en-US" sz="1100">
              <a:solidFill>
                <a:schemeClr val="dk1"/>
              </a:solidFill>
              <a:effectLst/>
              <a:latin typeface="+mn-lt"/>
              <a:ea typeface="+mn-ea"/>
              <a:cs typeface="+mn-cs"/>
            </a:rPr>
            <a:t>Version  </a:t>
          </a:r>
          <a:r>
            <a:rPr lang="en-US" sz="1100" baseline="0"/>
            <a:t>20 </a:t>
          </a:r>
          <a:r>
            <a:rPr lang="en-US" sz="1100"/>
            <a:t>Sept 2017: Although</a:t>
          </a:r>
          <a:r>
            <a:rPr lang="en-US" sz="1100" baseline="0"/>
            <a:t> the model had been simulating mite counts very nicely for the last few month's worth of versions, I</a:t>
          </a:r>
          <a:r>
            <a:rPr lang="en-US" sz="1100"/>
            <a:t> made a major change in</a:t>
          </a:r>
          <a:r>
            <a:rPr lang="en-US" sz="1100" i="1"/>
            <a:t> this </a:t>
          </a:r>
          <a:r>
            <a:rPr lang="en-US" sz="1100"/>
            <a:t>version to account for the percentage of</a:t>
          </a:r>
          <a:r>
            <a:rPr lang="en-US" sz="1100" baseline="0"/>
            <a:t> the mite population that either hadn't been mated, or had lost their fertility.  And at the same time I changed </a:t>
          </a:r>
          <a:r>
            <a:rPr lang="en-US" sz="1100" i="1" baseline="0"/>
            <a:t>the order </a:t>
          </a:r>
          <a:r>
            <a:rPr lang="en-US" sz="1100" baseline="0"/>
            <a:t>of the calculations for birth, death, emigration, immigration, and treatment (columns BZ through CL).   This change fixed a nagging problem with previous versions--that the mite population wasn't dropping quickly enough in late summer and fall.  I may later readjust the order of calculations.</a:t>
          </a:r>
        </a:p>
        <a:p>
          <a:endParaRPr lang="en-US" sz="1100" baseline="0"/>
        </a:p>
        <a:p>
          <a:r>
            <a:rPr lang="en-US" sz="1100" baseline="0"/>
            <a:t>The change fixed the late-summer problem, but now the April-Sept r values of  the simulations were a bit lower than  for field measurements--I shoot for the default to arrive at an r of about 0.020.  In order to compensate, I raised the default values for number of daughters per worker cell from 1.45 to 1.5, and the mating success from 75% to 80%.  </a:t>
          </a:r>
          <a:r>
            <a:rPr lang="en-US" sz="1100" b="1" baseline="0">
              <a:solidFill>
                <a:srgbClr val="FF0000"/>
              </a:solidFill>
            </a:rPr>
            <a:t>I'm not entirely comfortable with these new values</a:t>
          </a:r>
          <a:r>
            <a:rPr lang="en-US" sz="1100" baseline="0"/>
            <a:t>, since the previous values were  closer to the means of field measurements, so I feel that something still needs tweaking.</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6" name="Up Arrow 5"/>
        <xdr:cNvSpPr>
          <a:spLocks noChangeAspect="1"/>
        </xdr:cNvSpPr>
      </xdr:nvSpPr>
      <xdr:spPr>
        <a:xfrm>
          <a:off x="4648200" y="1666875"/>
          <a:ext cx="457200" cy="1114425"/>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7" name="Up Arrow 6"/>
        <xdr:cNvSpPr>
          <a:spLocks noChangeAspect="1"/>
        </xdr:cNvSpPr>
      </xdr:nvSpPr>
      <xdr:spPr>
        <a:xfrm rot="10800000">
          <a:off x="4650068" y="2945653"/>
          <a:ext cx="460188" cy="1079127"/>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0</xdr:colOff>
      <xdr:row>29</xdr:row>
      <xdr:rowOff>0</xdr:rowOff>
    </xdr:from>
    <xdr:to>
      <xdr:col>13</xdr:col>
      <xdr:colOff>488577</xdr:colOff>
      <xdr:row>68</xdr:row>
      <xdr:rowOff>101413</xdr:rowOff>
    </xdr:to>
    <xdr:pic>
      <xdr:nvPicPr>
        <xdr:cNvPr id="4" name="Picture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30706" y="5042647"/>
          <a:ext cx="4724400" cy="6219825"/>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5" name="TextBox 4"/>
        <xdr:cNvSpPr txBox="1"/>
      </xdr:nvSpPr>
      <xdr:spPr>
        <a:xfrm>
          <a:off x="3619500" y="11385177"/>
          <a:ext cx="4740088"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15.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rate of increase vs.</a:t>
          </a:r>
        </a:p>
        <a:p xmlns:a="http://schemas.openxmlformats.org/drawingml/2006/main">
          <a:pPr algn="ctr"/>
          <a:r>
            <a:rPr lang="en-US" sz="2000" b="1"/>
            <a:t>total</a:t>
          </a:r>
          <a:r>
            <a:rPr lang="en-US" sz="2000" b="1" baseline="0"/>
            <a:t> mite population in hive</a:t>
          </a:r>
        </a:p>
        <a:p xmlns:a="http://schemas.openxmlformats.org/drawingml/2006/main">
          <a:endParaRPr lang="en-US" sz="1100"/>
        </a:p>
      </cdr:txBody>
    </cdr:sp>
  </cdr:relSizeAnchor>
</c:userShapes>
</file>

<file path=xl/drawings/drawing16.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53974</xdr:colOff>
      <xdr:row>12</xdr:row>
      <xdr:rowOff>34924</xdr:rowOff>
    </xdr:from>
    <xdr:to>
      <xdr:col>10</xdr:col>
      <xdr:colOff>438150</xdr:colOff>
      <xdr:row>35</xdr:row>
      <xdr:rowOff>120650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0.7792</cdr:x>
      <cdr:y>0.20844</cdr:y>
    </cdr:from>
    <cdr:to>
      <cdr:x>0.99187</cdr:x>
      <cdr:y>0.71139</cdr:y>
    </cdr:to>
    <cdr:sp macro="" textlink="">
      <cdr:nvSpPr>
        <cdr:cNvPr id="2" name="TextBox 1"/>
        <cdr:cNvSpPr txBox="1"/>
      </cdr:nvSpPr>
      <cdr:spPr>
        <a:xfrm xmlns:a="http://schemas.openxmlformats.org/drawingml/2006/main">
          <a:off x="4257676" y="784226"/>
          <a:ext cx="1162050" cy="1892300"/>
        </a:xfrm>
        <a:prstGeom xmlns:a="http://schemas.openxmlformats.org/drawingml/2006/main" prst="rect">
          <a:avLst/>
        </a:prstGeom>
        <a:ln xmlns:a="http://schemas.openxmlformats.org/drawingml/2006/main">
          <a:solidFill>
            <a:schemeClr val="tx1"/>
          </a:solidFill>
        </a:ln>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400" b="0"/>
            <a:t>Starting mite count</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360012</xdr:colOff>
      <xdr:row>19</xdr:row>
      <xdr:rowOff>3640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9600" y="647700"/>
          <a:ext cx="4017612" cy="2432515"/>
        </a:xfrm>
        <a:prstGeom prst="rect">
          <a:avLst/>
        </a:prstGeom>
      </xdr:spPr>
    </xdr:pic>
    <xdr:clientData/>
  </xdr:twoCellAnchor>
  <xdr:twoCellAnchor>
    <xdr:from>
      <xdr:col>1</xdr:col>
      <xdr:colOff>12700</xdr:colOff>
      <xdr:row>18</xdr:row>
      <xdr:rowOff>139700</xdr:rowOff>
    </xdr:from>
    <xdr:to>
      <xdr:col>7</xdr:col>
      <xdr:colOff>31750</xdr:colOff>
      <xdr:row>26</xdr:row>
      <xdr:rowOff>139700</xdr:rowOff>
    </xdr:to>
    <xdr:sp macro="" textlink="">
      <xdr:nvSpPr>
        <xdr:cNvPr id="2" name="TextBox 1"/>
        <xdr:cNvSpPr txBox="1"/>
      </xdr:nvSpPr>
      <xdr:spPr>
        <a:xfrm>
          <a:off x="622300" y="2997200"/>
          <a:ext cx="3676650" cy="127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Karl Kunert &amp; Karl Crailsheim (1988) Seasonal Changes in Carbohydrate, </a:t>
          </a:r>
        </a:p>
        <a:p>
          <a:r>
            <a:rPr lang="en-US" sz="1100" b="0" i="0">
              <a:solidFill>
                <a:schemeClr val="dk1"/>
              </a:solidFill>
              <a:effectLst/>
              <a:latin typeface="+mn-lt"/>
              <a:ea typeface="+mn-ea"/>
              <a:cs typeface="+mn-cs"/>
            </a:rPr>
            <a:t>Lipid and Protein Content in Emerging Worker Honeybees and their Mortality, Journal of Apicultural </a:t>
          </a:r>
        </a:p>
        <a:p>
          <a:r>
            <a:rPr lang="en-US" sz="1100" b="0" i="0">
              <a:solidFill>
                <a:schemeClr val="dk1"/>
              </a:solidFill>
              <a:effectLst/>
              <a:latin typeface="+mn-lt"/>
              <a:ea typeface="+mn-ea"/>
              <a:cs typeface="+mn-cs"/>
            </a:rPr>
            <a:t>Research, 27:1, 13-21, DOI: </a:t>
          </a:r>
        </a:p>
        <a:p>
          <a:r>
            <a:rPr lang="en-US" sz="1100" b="0" i="0">
              <a:solidFill>
                <a:schemeClr val="dk1"/>
              </a:solidFill>
              <a:effectLst/>
              <a:latin typeface="+mn-lt"/>
              <a:ea typeface="+mn-ea"/>
              <a:cs typeface="+mn-cs"/>
            </a:rPr>
            <a:t>10.1080/00218839.1988.11100775</a:t>
          </a:r>
        </a:p>
        <a:p>
          <a:r>
            <a:rPr lang="en-US" sz="1100" b="0" i="0">
              <a:solidFill>
                <a:schemeClr val="dk1"/>
              </a:solidFill>
              <a:effectLst/>
              <a:latin typeface="+mn-lt"/>
              <a:ea typeface="+mn-ea"/>
              <a:cs typeface="+mn-cs"/>
            </a:rPr>
            <a:t>Data</a:t>
          </a:r>
          <a:r>
            <a:rPr lang="en-US" sz="1100" b="0" i="0" baseline="0">
              <a:solidFill>
                <a:schemeClr val="dk1"/>
              </a:solidFill>
              <a:effectLst/>
              <a:latin typeface="+mn-lt"/>
              <a:ea typeface="+mn-ea"/>
              <a:cs typeface="+mn-cs"/>
            </a:rPr>
            <a:t> from </a:t>
          </a:r>
          <a:r>
            <a:rPr lang="en-US" sz="1100" b="0" i="0">
              <a:solidFill>
                <a:schemeClr val="dk1"/>
              </a:solidFill>
              <a:effectLst/>
              <a:latin typeface="+mn-lt"/>
              <a:ea typeface="+mn-ea"/>
              <a:cs typeface="+mn-cs"/>
            </a:rPr>
            <a:t>Styria (Austria).</a:t>
          </a:r>
        </a:p>
        <a:p>
          <a:endParaRPr lang="en-US" sz="1100" b="0" i="0">
            <a:solidFill>
              <a:schemeClr val="dk1"/>
            </a:solidFill>
            <a:effectLst/>
            <a:latin typeface="+mn-lt"/>
            <a:ea typeface="+mn-ea"/>
            <a:cs typeface="+mn-cs"/>
          </a:endParaRPr>
        </a:p>
        <a:p>
          <a:endParaRPr lang="en-US" sz="1100"/>
        </a:p>
      </xdr:txBody>
    </xdr:sp>
    <xdr:clientData/>
  </xdr:twoCellAnchor>
  <xdr:twoCellAnchor editAs="oneCell">
    <xdr:from>
      <xdr:col>9</xdr:col>
      <xdr:colOff>0</xdr:colOff>
      <xdr:row>4</xdr:row>
      <xdr:rowOff>0</xdr:rowOff>
    </xdr:from>
    <xdr:to>
      <xdr:col>18</xdr:col>
      <xdr:colOff>456457</xdr:colOff>
      <xdr:row>32</xdr:row>
      <xdr:rowOff>66100</xdr:rowOff>
    </xdr:to>
    <xdr:pic>
      <xdr:nvPicPr>
        <xdr:cNvPr id="5" name="Picture 4"/>
        <xdr:cNvPicPr>
          <a:picLocks noChangeAspect="1"/>
        </xdr:cNvPicPr>
      </xdr:nvPicPr>
      <xdr:blipFill>
        <a:blip xmlns:r="http://schemas.openxmlformats.org/officeDocument/2006/relationships" r:embed="rId2" cstate="print"/>
        <a:stretch>
          <a:fillRect/>
        </a:stretch>
      </xdr:blipFill>
      <xdr:spPr>
        <a:xfrm>
          <a:off x="5486400" y="647700"/>
          <a:ext cx="5942857" cy="4600000"/>
        </a:xfrm>
        <a:prstGeom prst="rect">
          <a:avLst/>
        </a:prstGeom>
      </xdr:spPr>
    </xdr:pic>
    <xdr:clientData/>
  </xdr:twoCellAnchor>
  <xdr:twoCellAnchor>
    <xdr:from>
      <xdr:col>9</xdr:col>
      <xdr:colOff>247650</xdr:colOff>
      <xdr:row>32</xdr:row>
      <xdr:rowOff>76200</xdr:rowOff>
    </xdr:from>
    <xdr:to>
      <xdr:col>18</xdr:col>
      <xdr:colOff>361950</xdr:colOff>
      <xdr:row>35</xdr:row>
      <xdr:rowOff>66675</xdr:rowOff>
    </xdr:to>
    <xdr:sp macro="" textlink="">
      <xdr:nvSpPr>
        <xdr:cNvPr id="6" name="TextBox 5"/>
        <xdr:cNvSpPr txBox="1"/>
      </xdr:nvSpPr>
      <xdr:spPr>
        <a:xfrm>
          <a:off x="5734050" y="5257800"/>
          <a:ext cx="56007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Requier, F, et al (2017) The carry-over effects of pollen shortage decrease the</a:t>
          </a:r>
        </a:p>
        <a:p>
          <a:r>
            <a:rPr lang="en-US" sz="1100"/>
            <a:t>survival of honeybee colonies in farmlands. J. Appl. Ecol.  54: 1161–1170.</a:t>
          </a:r>
        </a:p>
      </xdr:txBody>
    </xdr:sp>
    <xdr:clientData/>
  </xdr:twoCellAnchor>
  <xdr:twoCellAnchor>
    <xdr:from>
      <xdr:col>1</xdr:col>
      <xdr:colOff>19050</xdr:colOff>
      <xdr:row>37</xdr:row>
      <xdr:rowOff>6350</xdr:rowOff>
    </xdr:from>
    <xdr:to>
      <xdr:col>8</xdr:col>
      <xdr:colOff>38100</xdr:colOff>
      <xdr:row>47</xdr:row>
      <xdr:rowOff>19050</xdr:rowOff>
    </xdr:to>
    <xdr:sp macro="" textlink="">
      <xdr:nvSpPr>
        <xdr:cNvPr id="3" name="TextBox 2"/>
        <xdr:cNvSpPr txBox="1"/>
      </xdr:nvSpPr>
      <xdr:spPr>
        <a:xfrm>
          <a:off x="628650" y="5880100"/>
          <a:ext cx="428625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t>Mite</a:t>
          </a:r>
          <a:r>
            <a:rPr lang="en-US" b="1" baseline="0"/>
            <a:t> mortality rate adjustment</a:t>
          </a:r>
          <a:endParaRPr lang="en-US" b="1"/>
        </a:p>
        <a:p>
          <a:r>
            <a:rPr lang="en-US"/>
            <a:t>The daily death rate of adult female mites during periods when brood was emerging was 0.069 ± 0.015 mites per day in 1995 and 0.054 ± 0.026 mites per day in 1996. When no brood was emerging, i.e. mortality during phoretic period, the daily death rates were 0.0045 ± 0.0017 mites per day in 1995 and 0.0076 ± 0.0052 mites per day in 1996.  Martin 1997</a:t>
          </a:r>
          <a:r>
            <a:rPr lang="en-US" baseline="0"/>
            <a:t> JAR </a:t>
          </a:r>
          <a:r>
            <a:rPr lang="en-US"/>
            <a:t>36(3/4): 113–123</a:t>
          </a:r>
          <a:endParaRPr lang="en-US" sz="1100"/>
        </a:p>
      </xdr:txBody>
    </xdr:sp>
    <xdr:clientData/>
  </xdr:twoCellAnchor>
  <xdr:twoCellAnchor editAs="oneCell">
    <xdr:from>
      <xdr:col>9</xdr:col>
      <xdr:colOff>0</xdr:colOff>
      <xdr:row>37</xdr:row>
      <xdr:rowOff>0</xdr:rowOff>
    </xdr:from>
    <xdr:to>
      <xdr:col>13</xdr:col>
      <xdr:colOff>362094</xdr:colOff>
      <xdr:row>64</xdr:row>
      <xdr:rowOff>101826</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5486400" y="5873750"/>
          <a:ext cx="2800494" cy="4394426"/>
        </a:xfrm>
        <a:prstGeom prst="rect">
          <a:avLst/>
        </a:prstGeom>
      </xdr:spPr>
    </xdr:pic>
    <xdr:clientData/>
  </xdr:twoCellAnchor>
  <xdr:twoCellAnchor editAs="oneCell">
    <xdr:from>
      <xdr:col>1</xdr:col>
      <xdr:colOff>0</xdr:colOff>
      <xdr:row>49</xdr:row>
      <xdr:rowOff>0</xdr:rowOff>
    </xdr:from>
    <xdr:to>
      <xdr:col>9</xdr:col>
      <xdr:colOff>489226</xdr:colOff>
      <xdr:row>75</xdr:row>
      <xdr:rowOff>6563</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609600" y="7778750"/>
          <a:ext cx="5366026" cy="4140413"/>
        </a:xfrm>
        <a:prstGeom prst="rect">
          <a:avLst/>
        </a:prstGeom>
      </xdr:spPr>
    </xdr:pic>
    <xdr:clientData/>
  </xdr:twoCellAnchor>
  <xdr:twoCellAnchor>
    <xdr:from>
      <xdr:col>1</xdr:col>
      <xdr:colOff>57150</xdr:colOff>
      <xdr:row>75</xdr:row>
      <xdr:rowOff>0</xdr:rowOff>
    </xdr:from>
    <xdr:to>
      <xdr:col>9</xdr:col>
      <xdr:colOff>558800</xdr:colOff>
      <xdr:row>80</xdr:row>
      <xdr:rowOff>44450</xdr:rowOff>
    </xdr:to>
    <xdr:sp macro="" textlink="">
      <xdr:nvSpPr>
        <xdr:cNvPr id="13" name="TextBox 12"/>
        <xdr:cNvSpPr txBox="1"/>
      </xdr:nvSpPr>
      <xdr:spPr>
        <a:xfrm>
          <a:off x="666750" y="11912600"/>
          <a:ext cx="537845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How the Infestation Level of </a:t>
          </a:r>
          <a:r>
            <a:rPr lang="en-US" sz="1100" b="1" i="1">
              <a:solidFill>
                <a:schemeClr val="dk1"/>
              </a:solidFill>
              <a:effectLst/>
              <a:latin typeface="+mn-lt"/>
              <a:ea typeface="+mn-ea"/>
              <a:cs typeface="+mn-cs"/>
            </a:rPr>
            <a:t>Varroa destructor</a:t>
          </a:r>
          <a:r>
            <a:rPr lang="en-US" sz="1100" b="1" i="0">
              <a:solidFill>
                <a:schemeClr val="dk1"/>
              </a:solidFill>
              <a:effectLst/>
              <a:latin typeface="+mn-lt"/>
              <a:ea typeface="+mn-ea"/>
              <a:cs typeface="+mn-cs"/>
            </a:rPr>
            <a:t> Affects the Distribution Pattern of Multi-Infested Cells in Worker Brood of </a:t>
          </a:r>
          <a:r>
            <a:rPr lang="en-US" sz="1100" b="1" i="1">
              <a:solidFill>
                <a:schemeClr val="dk1"/>
              </a:solidFill>
              <a:effectLst/>
              <a:latin typeface="+mn-lt"/>
              <a:ea typeface="+mn-ea"/>
              <a:cs typeface="+mn-cs"/>
            </a:rPr>
            <a:t>Apis mellifera</a:t>
          </a:r>
          <a:endParaRPr lang="en-US" sz="1100" b="1" i="0">
            <a:solidFill>
              <a:schemeClr val="dk1"/>
            </a:solidFill>
            <a:effectLst/>
            <a:latin typeface="+mn-lt"/>
            <a:ea typeface="+mn-ea"/>
            <a:cs typeface="+mn-cs"/>
          </a:endParaRPr>
        </a:p>
        <a:p>
          <a:r>
            <a:rPr lang="en-US" sz="1100" b="0" i="0">
              <a:solidFill>
                <a:schemeClr val="dk1"/>
              </a:solidFill>
              <a:effectLst/>
              <a:latin typeface="+mn-lt"/>
              <a:ea typeface="+mn-ea"/>
              <a:cs typeface="+mn-cs"/>
            </a:rPr>
            <a:t>by </a:t>
          </a:r>
          <a:r>
            <a:rPr lang="en-US" sz="1100" b="1" i="0" u="none" strike="noStrike">
              <a:solidFill>
                <a:schemeClr val="dk1"/>
              </a:solidFill>
              <a:effectLst/>
              <a:latin typeface="+mn-lt"/>
              <a:ea typeface="+mn-ea"/>
              <a:cs typeface="+mn-cs"/>
              <a:hlinkClick xmlns:r="http://schemas.openxmlformats.org/officeDocument/2006/relationships" r:id=""/>
            </a:rPr>
            <a:t>Ignazio Floris</a:t>
          </a:r>
          <a:r>
            <a:rPr lang="en-US" sz="1100" b="1" i="0" u="none" strike="noStrike">
              <a:solidFill>
                <a:schemeClr val="dk1"/>
              </a:solidFill>
              <a:effectLst/>
              <a:latin typeface="+mn-lt"/>
              <a:ea typeface="+mn-ea"/>
              <a:cs typeface="+mn-cs"/>
            </a:rPr>
            <a:t>, </a:t>
          </a:r>
          <a:r>
            <a:rPr lang="en-US" sz="1100" b="0" i="0" baseline="30000">
              <a:solidFill>
                <a:schemeClr val="dk1"/>
              </a:solidFill>
              <a:effectLst/>
              <a:latin typeface="+mn-lt"/>
              <a:ea typeface="+mn-ea"/>
              <a:cs typeface="+mn-cs"/>
            </a:rPr>
            <a:t> *</a:t>
          </a:r>
          <a:r>
            <a:rPr lang="en-US" sz="1100" b="0" i="0">
              <a:solidFill>
                <a:schemeClr val="dk1"/>
              </a:solidFill>
              <a:effectLst/>
              <a:latin typeface="+mn-lt"/>
              <a:ea typeface="+mn-ea"/>
              <a:cs typeface="+mn-cs"/>
            </a:rPr>
            <a:t>,</a:t>
          </a:r>
          <a:r>
            <a:rPr lang="en-US" sz="1100" b="1" i="0" u="none" strike="noStrike">
              <a:solidFill>
                <a:schemeClr val="dk1"/>
              </a:solidFill>
              <a:effectLst/>
              <a:latin typeface="+mn-lt"/>
              <a:ea typeface="+mn-ea"/>
              <a:cs typeface="+mn-cs"/>
              <a:hlinkClick xmlns:r="http://schemas.openxmlformats.org/officeDocument/2006/relationships" r:id=""/>
            </a:rPr>
            <a:t>Michelina Pusceddu</a:t>
          </a:r>
          <a:r>
            <a:rPr lang="en-US" sz="1100" b="1" i="0" u="none" strike="noStrike">
              <a:solidFill>
                <a:schemeClr val="dk1"/>
              </a:solidFill>
              <a:effectLst/>
              <a:latin typeface="+mn-lt"/>
              <a:ea typeface="+mn-ea"/>
              <a:cs typeface="+mn-cs"/>
            </a:rPr>
            <a:t>, </a:t>
          </a:r>
          <a:r>
            <a:rPr lang="en-US" sz="1100" b="0" i="0">
              <a:solidFill>
                <a:schemeClr val="dk1"/>
              </a:solidFill>
              <a:effectLst/>
              <a:latin typeface="+mn-lt"/>
              <a:ea typeface="+mn-ea"/>
              <a:cs typeface="+mn-cs"/>
            </a:rPr>
            <a:t> and</a:t>
          </a:r>
          <a:r>
            <a:rPr lang="en-US" sz="1100" b="1" i="0" u="none" strike="noStrike">
              <a:solidFill>
                <a:schemeClr val="dk1"/>
              </a:solidFill>
              <a:effectLst/>
              <a:latin typeface="+mn-lt"/>
              <a:ea typeface="+mn-ea"/>
              <a:cs typeface="+mn-cs"/>
              <a:hlinkClick xmlns:r="http://schemas.openxmlformats.org/officeDocument/2006/relationships" r:id=""/>
            </a:rPr>
            <a:t>Alberto Satta</a:t>
          </a:r>
          <a:r>
            <a:rPr lang="en-US" sz="1100" b="0" i="1">
              <a:solidFill>
                <a:schemeClr val="dk1"/>
              </a:solidFill>
              <a:effectLst/>
              <a:latin typeface="+mn-lt"/>
              <a:ea typeface="+mn-ea"/>
              <a:cs typeface="+mn-cs"/>
            </a:rPr>
            <a:t>Vet. Sci.</a:t>
          </a:r>
          <a:r>
            <a:rPr lang="en-US" sz="1100" b="0" i="0">
              <a:solidFill>
                <a:schemeClr val="dk1"/>
              </a:solidFill>
              <a:effectLst/>
              <a:latin typeface="+mn-lt"/>
              <a:ea typeface="+mn-ea"/>
              <a:cs typeface="+mn-cs"/>
            </a:rPr>
            <a:t> </a:t>
          </a:r>
          <a:r>
            <a:rPr lang="en-US" sz="1100" b="1" i="0">
              <a:solidFill>
                <a:schemeClr val="dk1"/>
              </a:solidFill>
              <a:effectLst/>
              <a:latin typeface="+mn-lt"/>
              <a:ea typeface="+mn-ea"/>
              <a:cs typeface="+mn-cs"/>
            </a:rPr>
            <a:t>2020</a:t>
          </a:r>
          <a:r>
            <a:rPr lang="en-US" sz="1100" b="0" i="0">
              <a:solidFill>
                <a:schemeClr val="dk1"/>
              </a:solidFill>
              <a:effectLst/>
              <a:latin typeface="+mn-lt"/>
              <a:ea typeface="+mn-ea"/>
              <a:cs typeface="+mn-cs"/>
            </a:rPr>
            <a:t>, </a:t>
          </a:r>
          <a:r>
            <a:rPr lang="en-US" sz="1100" b="0" i="1">
              <a:solidFill>
                <a:schemeClr val="dk1"/>
              </a:solidFill>
              <a:effectLst/>
              <a:latin typeface="+mn-lt"/>
              <a:ea typeface="+mn-ea"/>
              <a:cs typeface="+mn-cs"/>
            </a:rPr>
            <a:t>7</a:t>
          </a:r>
          <a:r>
            <a:rPr lang="en-US" sz="1100" b="0" i="0">
              <a:solidFill>
                <a:schemeClr val="dk1"/>
              </a:solidFill>
              <a:effectLst/>
              <a:latin typeface="+mn-lt"/>
              <a:ea typeface="+mn-ea"/>
              <a:cs typeface="+mn-cs"/>
            </a:rPr>
            <a:t>(3), 136; </a:t>
          </a:r>
          <a:r>
            <a:rPr lang="en-US" sz="1100" b="1" i="0" u="none" strike="noStrike">
              <a:solidFill>
                <a:schemeClr val="dk1"/>
              </a:solidFill>
              <a:effectLst/>
              <a:latin typeface="+mn-lt"/>
              <a:ea typeface="+mn-ea"/>
              <a:cs typeface="+mn-cs"/>
              <a:hlinkClick xmlns:r="http://schemas.openxmlformats.org/officeDocument/2006/relationships" r:id=""/>
            </a:rPr>
            <a:t>https://doi.org/10.3390/vetsci7030136</a:t>
          </a:r>
          <a:endParaRPr lang="en-US" sz="1100" b="0" i="0">
            <a:solidFill>
              <a:schemeClr val="dk1"/>
            </a:solidFill>
            <a:effectLst/>
            <a:latin typeface="+mn-lt"/>
            <a:ea typeface="+mn-ea"/>
            <a:cs typeface="+mn-cs"/>
          </a:endParaRPr>
        </a:p>
        <a:p>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366889</xdr:colOff>
      <xdr:row>2</xdr:row>
      <xdr:rowOff>484187</xdr:rowOff>
    </xdr:from>
    <xdr:to>
      <xdr:col>28</xdr:col>
      <xdr:colOff>331611</xdr:colOff>
      <xdr:row>18</xdr:row>
      <xdr:rowOff>155221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99218</xdr:colOff>
      <xdr:row>60</xdr:row>
      <xdr:rowOff>37042</xdr:rowOff>
    </xdr:from>
    <xdr:to>
      <xdr:col>41</xdr:col>
      <xdr:colOff>269876</xdr:colOff>
      <xdr:row>79</xdr:row>
      <xdr:rowOff>148167</xdr:rowOff>
    </xdr:to>
    <xdr:sp macro="" textlink="">
      <xdr:nvSpPr>
        <xdr:cNvPr id="3" name="TextBox 2"/>
        <xdr:cNvSpPr txBox="1"/>
      </xdr:nvSpPr>
      <xdr:spPr>
        <a:xfrm>
          <a:off x="13415168" y="10959042"/>
          <a:ext cx="2666208" cy="320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As</a:t>
          </a:r>
          <a:r>
            <a:rPr lang="en-US" sz="1100" baseline="0"/>
            <a:t> you can see from the table at left, if the r value is decreased to 0.002 (as in highly mite-resistant bee stock, it would take roughly a year for the mite pop in a hive to double (ignoring immigration).  </a:t>
          </a:r>
        </a:p>
        <a:p>
          <a:endParaRPr lang="en-US" sz="1100" baseline="0"/>
        </a:p>
        <a:p>
          <a:r>
            <a:rPr lang="en-US" sz="1100" baseline="0"/>
            <a:t>In all stocks, the rate of  increase is balanced by the rate of mite mortality, due to aging, grooming, emigration, and treatments.  </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key point is that mite increase can only occur during months in which the colony is rearing brood--the rest of the year, the rate of mite loss alone applies.  This is why mites are more of a problem in areas with short winters.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xdr:txBody>
    </xdr:sp>
    <xdr:clientData/>
  </xdr:twoCellAnchor>
  <xdr:twoCellAnchor>
    <xdr:from>
      <xdr:col>139</xdr:col>
      <xdr:colOff>0</xdr:colOff>
      <xdr:row>59</xdr:row>
      <xdr:rowOff>63500</xdr:rowOff>
    </xdr:from>
    <xdr:to>
      <xdr:col>157</xdr:col>
      <xdr:colOff>592665</xdr:colOff>
      <xdr:row>66</xdr:row>
      <xdr:rowOff>31750</xdr:rowOff>
    </xdr:to>
    <xdr:sp macro="" textlink="">
      <xdr:nvSpPr>
        <xdr:cNvPr id="4" name="TextBox 3"/>
        <xdr:cNvSpPr txBox="1"/>
      </xdr:nvSpPr>
      <xdr:spPr>
        <a:xfrm>
          <a:off x="85509100" y="10820400"/>
          <a:ext cx="1205441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found that artificially-transferred mites could reproduce</a:t>
          </a:r>
          <a:r>
            <a:rPr lang="en-US" sz="1100" baseline="0">
              <a:solidFill>
                <a:schemeClr val="dk1"/>
              </a:solidFill>
              <a:effectLst/>
              <a:latin typeface="+mn-lt"/>
              <a:ea typeface="+mn-ea"/>
              <a:cs typeface="+mn-cs"/>
            </a:rPr>
            <a:t> for up to 7 cycles, but that only 10% of the tested mites successfully reproduced for more than 1 cycle.  And even for those that reproduced for multiple cycles, the percent that laid both male and female eggs dropped substantially after 5 cycles.  Sinc e a typical cycle is roughly 17 days, I arbitrarily cut off successful reproduction after mites reached 75 days of age.  This may well be an overestimate.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 Ruijter, A (1987) Reproduction of </a:t>
          </a:r>
          <a:r>
            <a:rPr lang="en-US" sz="1100" i="1">
              <a:solidFill>
                <a:schemeClr val="dk1"/>
              </a:solidFill>
              <a:effectLst/>
              <a:latin typeface="+mn-lt"/>
              <a:ea typeface="+mn-ea"/>
              <a:cs typeface="+mn-cs"/>
            </a:rPr>
            <a:t>Varroa jacobsoni</a:t>
          </a:r>
          <a:r>
            <a:rPr lang="en-US" sz="1100">
              <a:solidFill>
                <a:schemeClr val="dk1"/>
              </a:solidFill>
              <a:effectLst/>
              <a:latin typeface="+mn-lt"/>
              <a:ea typeface="+mn-ea"/>
              <a:cs typeface="+mn-cs"/>
            </a:rPr>
            <a:t> during successive brood cycles of the honeybee. Apidologie 18(4): 321-326.</a:t>
          </a:r>
          <a:endParaRPr lang="en-US" sz="1100"/>
        </a:p>
        <a:p>
          <a:r>
            <a:rPr lang="en-US" sz="1100"/>
            <a:t>I'm intentionally ignoring mite emigration, since it would be roughly proportional, since a substantial proportion of young workers never return from their first flight.  See Thompson (2015) Thiamethoxam: Assessing flight activity of honeybees foraging on treated oilseed rape using radio frequency identification technology.  Environmental Toxicology and Chemistry.</a:t>
          </a:r>
        </a:p>
      </xdr:txBody>
    </xdr:sp>
    <xdr:clientData/>
  </xdr:twoCellAnchor>
  <xdr:oneCellAnchor>
    <xdr:from>
      <xdr:col>143</xdr:col>
      <xdr:colOff>42333</xdr:colOff>
      <xdr:row>64</xdr:row>
      <xdr:rowOff>116417</xdr:rowOff>
    </xdr:from>
    <xdr:ext cx="184731" cy="264560"/>
    <xdr:sp macro="" textlink="">
      <xdr:nvSpPr>
        <xdr:cNvPr id="5" name="TextBox 4"/>
        <xdr:cNvSpPr txBox="1"/>
      </xdr:nvSpPr>
      <xdr:spPr>
        <a:xfrm>
          <a:off x="88478783" y="116924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43</xdr:col>
      <xdr:colOff>0</xdr:colOff>
      <xdr:row>17</xdr:row>
      <xdr:rowOff>395111</xdr:rowOff>
    </xdr:from>
    <xdr:to>
      <xdr:col>47</xdr:col>
      <xdr:colOff>42333</xdr:colOff>
      <xdr:row>17</xdr:row>
      <xdr:rowOff>627944</xdr:rowOff>
    </xdr:to>
    <xdr:sp macro="" textlink="">
      <xdr:nvSpPr>
        <xdr:cNvPr id="6" name="TextBox 5"/>
        <xdr:cNvSpPr txBox="1"/>
      </xdr:nvSpPr>
      <xdr:spPr>
        <a:xfrm>
          <a:off x="16446500" y="3881261"/>
          <a:ext cx="1312333"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Randy Oliver  2017</a:t>
          </a:r>
        </a:p>
      </xdr:txBody>
    </xdr:sp>
    <xdr:clientData/>
  </xdr:twoCellAnchor>
  <xdr:twoCellAnchor>
    <xdr:from>
      <xdr:col>68</xdr:col>
      <xdr:colOff>539750</xdr:colOff>
      <xdr:row>78</xdr:row>
      <xdr:rowOff>74083</xdr:rowOff>
    </xdr:from>
    <xdr:to>
      <xdr:col>75</xdr:col>
      <xdr:colOff>31750</xdr:colOff>
      <xdr:row>80</xdr:row>
      <xdr:rowOff>84667</xdr:rowOff>
    </xdr:to>
    <xdr:cxnSp macro="">
      <xdr:nvCxnSpPr>
        <xdr:cNvPr id="7" name="Straight Arrow Connector 6"/>
        <xdr:cNvCxnSpPr/>
      </xdr:nvCxnSpPr>
      <xdr:spPr>
        <a:xfrm flipH="1" flipV="1">
          <a:off x="31870650" y="13923433"/>
          <a:ext cx="4165600" cy="334434"/>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190500</xdr:colOff>
      <xdr:row>86</xdr:row>
      <xdr:rowOff>83344</xdr:rowOff>
    </xdr:from>
    <xdr:to>
      <xdr:col>95</xdr:col>
      <xdr:colOff>451909</xdr:colOff>
      <xdr:row>106</xdr:row>
      <xdr:rowOff>98425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49388</xdr:rowOff>
    </xdr:from>
    <xdr:to>
      <xdr:col>28</xdr:col>
      <xdr:colOff>352777</xdr:colOff>
      <xdr:row>2</xdr:row>
      <xdr:rowOff>409221</xdr:rowOff>
    </xdr:to>
    <xdr:sp macro="" textlink="">
      <xdr:nvSpPr>
        <xdr:cNvPr id="9" name="TextBox 8"/>
        <xdr:cNvSpPr txBox="1"/>
      </xdr:nvSpPr>
      <xdr:spPr>
        <a:xfrm>
          <a:off x="183444" y="49388"/>
          <a:ext cx="10985500" cy="6843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a:solidFill>
                <a:schemeClr val="dk1"/>
              </a:solidFill>
              <a:effectLst/>
              <a:latin typeface="+mn-lt"/>
              <a:ea typeface="+mn-ea"/>
              <a:cs typeface="+mn-cs"/>
            </a:rPr>
            <a:t>An</a:t>
          </a:r>
          <a:r>
            <a:rPr lang="en-US" sz="1100" b="1" baseline="0">
              <a:solidFill>
                <a:schemeClr val="dk1"/>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After removal of the queen, it typically takes the colony 22-30 days  until  a new emergency  replacement queen begins laying  eggs -- so there will be a 22-30-day period during which varroa cannot  enter a  cell to reproduce, starting  8 days after removal of the queen.  See the instructions immediately to the right to see how to insert a brood break into this simulation.  All other  treatment options can  still be used.  </a:t>
          </a:r>
          <a:endParaRPr lang="en-US" sz="1200">
            <a:effectLst/>
          </a:endParaRPr>
        </a:p>
      </xdr:txBody>
    </xdr:sp>
    <xdr:clientData/>
  </xdr:twoCellAnchor>
  <xdr:twoCellAnchor>
    <xdr:from>
      <xdr:col>22</xdr:col>
      <xdr:colOff>49389</xdr:colOff>
      <xdr:row>2</xdr:row>
      <xdr:rowOff>606777</xdr:rowOff>
    </xdr:from>
    <xdr:to>
      <xdr:col>26</xdr:col>
      <xdr:colOff>165804</xdr:colOff>
      <xdr:row>2</xdr:row>
      <xdr:rowOff>1104193</xdr:rowOff>
    </xdr:to>
    <xdr:sp macro="" textlink="">
      <xdr:nvSpPr>
        <xdr:cNvPr id="10" name="TextBox 9"/>
        <xdr:cNvSpPr txBox="1"/>
      </xdr:nvSpPr>
      <xdr:spPr>
        <a:xfrm>
          <a:off x="8691739" y="930627"/>
          <a:ext cx="1589615" cy="497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ScientificBeekeeping</a:t>
          </a:r>
        </a:p>
      </xdr:txBody>
    </xdr:sp>
    <xdr:clientData/>
  </xdr:twoCellAnchor>
  <xdr:twoCellAnchor>
    <xdr:from>
      <xdr:col>1</xdr:col>
      <xdr:colOff>0</xdr:colOff>
      <xdr:row>24</xdr:row>
      <xdr:rowOff>42333</xdr:rowOff>
    </xdr:from>
    <xdr:to>
      <xdr:col>29</xdr:col>
      <xdr:colOff>0</xdr:colOff>
      <xdr:row>28</xdr:row>
      <xdr:rowOff>112889</xdr:rowOff>
    </xdr:to>
    <xdr:sp macro="" textlink="">
      <xdr:nvSpPr>
        <xdr:cNvPr id="11" name="TextBox 10"/>
        <xdr:cNvSpPr txBox="1"/>
      </xdr:nvSpPr>
      <xdr:spPr>
        <a:xfrm>
          <a:off x="184150" y="4874683"/>
          <a:ext cx="11036300" cy="7246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IMPORTANT:  </a:t>
          </a:r>
          <a:r>
            <a:rPr lang="en-US" sz="1100">
              <a:solidFill>
                <a:schemeClr val="dk1"/>
              </a:solidFill>
              <a:effectLst/>
              <a:latin typeface="+mn-lt"/>
              <a:ea typeface="+mn-ea"/>
              <a:cs typeface="+mn-cs"/>
            </a:rPr>
            <a:t>the alcohol wash reflects the proportion of mites on the adult bees, so early in the season it underestimates the degree of buildup of  the actual mite population since most of the mites are in the brood (refer to "% mites in brood "above).  When the colony reduces the broodnest in autumn, the mite infestation will appear to explode.   </a:t>
          </a:r>
          <a:r>
            <a:rPr lang="en-US" sz="1100" b="1"/>
            <a:t>WARNING: </a:t>
          </a:r>
          <a:r>
            <a:rPr lang="en-US" sz="1100"/>
            <a:t>simulations reflect </a:t>
          </a:r>
          <a:r>
            <a:rPr lang="en-US" sz="1100" i="1"/>
            <a:t>median </a:t>
          </a:r>
          <a:r>
            <a:rPr lang="en-US" sz="1100"/>
            <a:t>expected values-- actual hive-to-hive mite counts typically vary greatly!  </a:t>
          </a:r>
          <a:r>
            <a:rPr lang="en-US" sz="1100" b="1">
              <a:solidFill>
                <a:srgbClr val="FF0000"/>
              </a:solidFill>
              <a:effectLst/>
              <a:latin typeface="+mn-lt"/>
              <a:ea typeface="+mn-ea"/>
              <a:cs typeface="+mn-cs"/>
            </a:rPr>
            <a:t>Once the alcohol wash count exceeds</a:t>
          </a:r>
          <a:r>
            <a:rPr lang="en-US" sz="1100" b="1" baseline="0">
              <a:solidFill>
                <a:srgbClr val="FF0000"/>
              </a:solidFill>
              <a:effectLst/>
              <a:latin typeface="+mn-lt"/>
              <a:ea typeface="+mn-ea"/>
              <a:cs typeface="+mn-cs"/>
            </a:rPr>
            <a:t> 15 mites, there is typically a decrease in colony performance.   </a:t>
          </a:r>
          <a:r>
            <a:rPr lang="en-US" sz="1100" b="0" baseline="0">
              <a:solidFill>
                <a:schemeClr val="dk1"/>
              </a:solidFill>
              <a:effectLst/>
              <a:latin typeface="+mn-lt"/>
              <a:ea typeface="+mn-ea"/>
              <a:cs typeface="+mn-cs"/>
            </a:rPr>
            <a:t>C</a:t>
          </a:r>
          <a:r>
            <a:rPr lang="en-US" sz="1100">
              <a:solidFill>
                <a:schemeClr val="dk1"/>
              </a:solidFill>
              <a:effectLst/>
              <a:latin typeface="+mn-lt"/>
              <a:ea typeface="+mn-ea"/>
              <a:cs typeface="+mn-cs"/>
            </a:rPr>
            <a:t>rash is indicated when the mite /virus load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 overwhelms the colony.  </a:t>
          </a:r>
          <a:r>
            <a:rPr lang="en-US" sz="1100" b="1" i="1" baseline="0">
              <a:solidFill>
                <a:schemeClr val="tx1"/>
              </a:solidFill>
              <a:effectLst/>
              <a:latin typeface="+mn-lt"/>
              <a:ea typeface="+mn-ea"/>
              <a:cs typeface="+mn-cs"/>
            </a:rPr>
            <a:t>It is easier and better to proactively keep mite levels low, rather than to  later try to bring them down!  </a:t>
          </a:r>
          <a:endParaRPr lang="en-US" sz="1100">
            <a:solidFill>
              <a:schemeClr val="tx1"/>
            </a:solidFill>
          </a:endParaRPr>
        </a:p>
      </xdr:txBody>
    </xdr:sp>
    <xdr:clientData/>
  </xdr:twoCellAnchor>
  <xdr:twoCellAnchor>
    <xdr:from>
      <xdr:col>14</xdr:col>
      <xdr:colOff>0</xdr:colOff>
      <xdr:row>28</xdr:row>
      <xdr:rowOff>141111</xdr:rowOff>
    </xdr:from>
    <xdr:to>
      <xdr:col>31</xdr:col>
      <xdr:colOff>7056</xdr:colOff>
      <xdr:row>32</xdr:row>
      <xdr:rowOff>148167</xdr:rowOff>
    </xdr:to>
    <xdr:sp macro="" textlink="">
      <xdr:nvSpPr>
        <xdr:cNvPr id="12" name="TextBox 11"/>
        <xdr:cNvSpPr txBox="1"/>
      </xdr:nvSpPr>
      <xdr:spPr>
        <a:xfrm>
          <a:off x="5695950" y="5627511"/>
          <a:ext cx="6299906" cy="6674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Mite</a:t>
          </a:r>
          <a:r>
            <a:rPr lang="en-US" sz="1100" b="1" baseline="0"/>
            <a:t> Reductions by Treatment Type:</a:t>
          </a:r>
          <a:r>
            <a:rPr lang="en-US" sz="1100"/>
            <a:t>  </a:t>
          </a:r>
          <a:r>
            <a:rPr lang="en-US" sz="1100">
              <a:solidFill>
                <a:schemeClr val="dk1"/>
              </a:solidFill>
              <a:effectLst/>
              <a:latin typeface="+mn-lt"/>
              <a:ea typeface="+mn-ea"/>
              <a:cs typeface="+mn-cs"/>
            </a:rPr>
            <a:t>Always perform a mite wash 12 days after treatment (after mites have emerged from brood) to confirm efficacy!  </a:t>
          </a:r>
          <a:r>
            <a:rPr lang="en-US" sz="1100"/>
            <a:t>If the mite count is above 30,  it may take a long time for a colony to recover from the in-hive DWV epidemic., </a:t>
          </a:r>
          <a:r>
            <a:rPr lang="en-US" sz="1100">
              <a:solidFill>
                <a:schemeClr val="dk1"/>
              </a:solidFill>
              <a:effectLst/>
              <a:latin typeface="+mn-lt"/>
              <a:ea typeface="+mn-ea"/>
              <a:cs typeface="+mn-cs"/>
            </a:rPr>
            <a:t>even  after an effective treatment</a:t>
          </a:r>
          <a:r>
            <a:rPr lang="en-US" sz="1100"/>
            <a:t>  </a:t>
          </a:r>
        </a:p>
      </xdr:txBody>
    </xdr:sp>
    <xdr:clientData/>
  </xdr:twoCellAnchor>
  <xdr:twoCellAnchor>
    <xdr:from>
      <xdr:col>31</xdr:col>
      <xdr:colOff>35278</xdr:colOff>
      <xdr:row>2</xdr:row>
      <xdr:rowOff>-1</xdr:rowOff>
    </xdr:from>
    <xdr:to>
      <xdr:col>42</xdr:col>
      <xdr:colOff>42334</xdr:colOff>
      <xdr:row>22</xdr:row>
      <xdr:rowOff>35278</xdr:rowOff>
    </xdr:to>
    <xdr:sp macro="" textlink="">
      <xdr:nvSpPr>
        <xdr:cNvPr id="13" name="TextBox 12"/>
        <xdr:cNvSpPr txBox="1"/>
      </xdr:nvSpPr>
      <xdr:spPr>
        <a:xfrm>
          <a:off x="12460111" y="388055"/>
          <a:ext cx="4155723" cy="462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200" b="0" baseline="0">
              <a:solidFill>
                <a:schemeClr val="dk1"/>
              </a:solidFill>
              <a:effectLst/>
              <a:latin typeface="+mn-lt"/>
              <a:ea typeface="+mn-ea"/>
              <a:cs typeface="+mn-cs"/>
            </a:rPr>
            <a:t>Thanks  to  beekeeper Rick for the idea.  We can roughly estimate the effect upon  the varroa infestation by  reducing mite reproduction to zero  during the two 15-day time periods following the removal of the queen.</a:t>
          </a:r>
          <a:endParaRPr lang="en-US" sz="1200">
            <a:effectLst/>
          </a:endParaRPr>
        </a:p>
        <a:p>
          <a:pPr eaLnBrk="1" fontAlgn="auto" latinLnBrk="0" hangingPunct="1"/>
          <a:endParaRPr lang="en-US" sz="1200" b="0" baseline="0">
            <a:solidFill>
              <a:srgbClr val="C00000"/>
            </a:solidFill>
            <a:effectLst/>
            <a:latin typeface="+mn-lt"/>
            <a:ea typeface="+mn-ea"/>
            <a:cs typeface="+mn-cs"/>
          </a:endParaRPr>
        </a:p>
        <a:p>
          <a:pPr eaLnBrk="1" fontAlgn="auto" latinLnBrk="0" hangingPunct="1"/>
          <a:r>
            <a:rPr lang="en-US" sz="1200" b="1" baseline="0">
              <a:solidFill>
                <a:srgbClr val="C00000"/>
              </a:solidFill>
              <a:effectLst/>
              <a:latin typeface="+mn-lt"/>
              <a:ea typeface="+mn-ea"/>
              <a:cs typeface="+mn-cs"/>
            </a:rPr>
            <a:t>Here's how to insert a brood break into the simulation:</a:t>
          </a:r>
        </a:p>
        <a:p>
          <a:pPr eaLnBrk="1" fontAlgn="auto" latinLnBrk="0" hangingPunct="1"/>
          <a:r>
            <a:rPr lang="en-US" sz="1200" b="0" baseline="0">
              <a:solidFill>
                <a:srgbClr val="C00000"/>
              </a:solidFill>
              <a:effectLst/>
              <a:latin typeface="+mn-lt"/>
              <a:ea typeface="+mn-ea"/>
              <a:cs typeface="+mn-cs"/>
            </a:rPr>
            <a:t>Go to Column AD immediately to the left. </a:t>
          </a:r>
        </a:p>
        <a:p>
          <a:pPr eaLnBrk="1" fontAlgn="auto" latinLnBrk="0" hangingPunct="1"/>
          <a:r>
            <a:rPr lang="en-US" sz="1200" b="0" baseline="0">
              <a:solidFill>
                <a:srgbClr val="C00000"/>
              </a:solidFill>
              <a:effectLst/>
              <a:latin typeface="+mn-lt"/>
              <a:ea typeface="+mn-ea"/>
              <a:cs typeface="+mn-cs"/>
            </a:rPr>
            <a:t>Enter "B" into the two cells most closely corresponding to the timing  of the colony being without a laying queen.  </a:t>
          </a:r>
        </a:p>
        <a:p>
          <a:pPr marL="0" marR="0" indent="0" defTabSz="914400" eaLnBrk="1" fontAlgn="auto" latinLnBrk="0" hangingPunct="1">
            <a:lnSpc>
              <a:spcPct val="100000"/>
            </a:lnSpc>
            <a:spcBef>
              <a:spcPts val="0"/>
            </a:spcBef>
            <a:spcAft>
              <a:spcPts val="0"/>
            </a:spcAft>
            <a:buClrTx/>
            <a:buSzTx/>
            <a:buFontTx/>
            <a:buNone/>
            <a:tabLst/>
            <a:defRPr/>
          </a:pPr>
          <a:r>
            <a:rPr lang="en-US" sz="1200" b="0" i="1" baseline="0">
              <a:solidFill>
                <a:schemeClr val="tx1"/>
              </a:solidFill>
              <a:effectLst/>
              <a:latin typeface="+mn-lt"/>
              <a:ea typeface="+mn-ea"/>
              <a:cs typeface="+mn-cs"/>
            </a:rPr>
            <a:t>The brood breaks will show as green triangles, but will not show in the graph of amount of brood!</a:t>
          </a:r>
        </a:p>
        <a:p>
          <a:pPr marL="0" marR="0" indent="0" defTabSz="914400" eaLnBrk="1" fontAlgn="auto" latinLnBrk="0" hangingPunct="1">
            <a:lnSpc>
              <a:spcPct val="100000"/>
            </a:lnSpc>
            <a:spcBef>
              <a:spcPts val="0"/>
            </a:spcBef>
            <a:spcAft>
              <a:spcPts val="0"/>
            </a:spcAft>
            <a:buClrTx/>
            <a:buSzTx/>
            <a:buFontTx/>
            <a:buNone/>
            <a:tabLst/>
            <a:defRPr/>
          </a:pPr>
          <a:endParaRPr lang="en-US" sz="1200" b="0" i="1"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will produce a rough estimate of the effect.  You can enter other treatments into the yellow cells on Row 20.</a:t>
          </a:r>
          <a:endParaRPr lang="en-US" sz="1200" b="0" baseline="0">
            <a:solidFill>
              <a:schemeClr val="tx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1" i="1" baseline="0">
              <a:solidFill>
                <a:schemeClr val="dk1"/>
              </a:solidFill>
              <a:effectLst/>
              <a:latin typeface="+mn-lt"/>
              <a:ea typeface="+mn-ea"/>
              <a:cs typeface="+mn-cs"/>
            </a:rPr>
            <a:t>Note: an oxalic dribble applied 21 days after  removal of the queen can then be used to eliminate most of the remaining mites from the hive before the brood from the new queen is old enough for the mites to begin reproduction again.</a:t>
          </a:r>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sz="12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a:p>
      </xdr:txBody>
    </xdr:sp>
    <xdr:clientData/>
  </xdr:twoCellAnchor>
  <xdr:twoCellAnchor>
    <xdr:from>
      <xdr:col>8</xdr:col>
      <xdr:colOff>77611</xdr:colOff>
      <xdr:row>2</xdr:row>
      <xdr:rowOff>585611</xdr:rowOff>
    </xdr:from>
    <xdr:to>
      <xdr:col>21</xdr:col>
      <xdr:colOff>28223</xdr:colOff>
      <xdr:row>2</xdr:row>
      <xdr:rowOff>804333</xdr:rowOff>
    </xdr:to>
    <xdr:sp macro="" textlink="">
      <xdr:nvSpPr>
        <xdr:cNvPr id="14" name="TextBox 13"/>
        <xdr:cNvSpPr txBox="1"/>
      </xdr:nvSpPr>
      <xdr:spPr>
        <a:xfrm>
          <a:off x="3563761" y="909461"/>
          <a:ext cx="4738512" cy="218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model is a work in progress -- be sure to use the most current version!</a:t>
          </a:r>
        </a:p>
      </xdr:txBody>
    </xdr:sp>
    <xdr:clientData/>
  </xdr:twoCellAnchor>
  <xdr:twoCellAnchor>
    <xdr:from>
      <xdr:col>13</xdr:col>
      <xdr:colOff>359834</xdr:colOff>
      <xdr:row>33</xdr:row>
      <xdr:rowOff>126999</xdr:rowOff>
    </xdr:from>
    <xdr:to>
      <xdr:col>31</xdr:col>
      <xdr:colOff>7056</xdr:colOff>
      <xdr:row>67</xdr:row>
      <xdr:rowOff>49388</xdr:rowOff>
    </xdr:to>
    <xdr:sp macro="" textlink="">
      <xdr:nvSpPr>
        <xdr:cNvPr id="15" name="TextBox 14"/>
        <xdr:cNvSpPr txBox="1"/>
      </xdr:nvSpPr>
      <xdr:spPr>
        <a:xfrm>
          <a:off x="5672667" y="6448777"/>
          <a:ext cx="6286500" cy="5609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Expected mite reductions by treatment option:</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95%: </a:t>
          </a:r>
          <a:r>
            <a:rPr lang="en-US" sz="1100">
              <a:solidFill>
                <a:schemeClr val="dk1"/>
              </a:solidFill>
              <a:effectLst/>
              <a:latin typeface="+mn-lt"/>
              <a:ea typeface="+mn-ea"/>
              <a:cs typeface="+mn-cs"/>
            </a:rPr>
            <a:t>High-efficacy synthetic miticide, such as amitraz applied over several weeks. </a:t>
          </a:r>
          <a:r>
            <a:rPr lang="en-US" sz="1100">
              <a:solidFill>
                <a:srgbClr val="FF0000"/>
              </a:solidFill>
              <a:effectLst/>
              <a:latin typeface="+mn-lt"/>
              <a:ea typeface="+mn-ea"/>
              <a:cs typeface="+mn-cs"/>
            </a:rPr>
            <a:t>Not quick acting, so best applied proactively, early in the season.</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90%: </a:t>
          </a:r>
          <a:r>
            <a:rPr lang="en-US" sz="1100">
              <a:solidFill>
                <a:schemeClr val="dk1"/>
              </a:solidFill>
              <a:effectLst/>
              <a:latin typeface="+mn-lt"/>
              <a:ea typeface="+mn-ea"/>
              <a:cs typeface="+mn-cs"/>
            </a:rPr>
            <a:t>Two 50-g Apiguard treatments at 10 days, in a rim.  </a:t>
          </a:r>
          <a:r>
            <a:rPr lang="en-US" sz="1100">
              <a:solidFill>
                <a:srgbClr val="FF0000"/>
              </a:solidFill>
              <a:effectLst/>
              <a:latin typeface="+mn-lt"/>
              <a:ea typeface="+mn-ea"/>
              <a:cs typeface="+mn-cs"/>
            </a:rPr>
            <a:t>Best used in August, as it suppresses broodrearing.</a:t>
          </a:r>
        </a:p>
        <a:p>
          <a:r>
            <a:rPr lang="en-US" sz="1100" b="1">
              <a:solidFill>
                <a:schemeClr val="dk1"/>
              </a:solidFill>
              <a:effectLst/>
              <a:latin typeface="+mn-lt"/>
              <a:ea typeface="+mn-ea"/>
              <a:cs typeface="+mn-cs"/>
            </a:rPr>
            <a:t>70-90% (sometimes less):</a:t>
          </a:r>
          <a:r>
            <a:rPr lang="en-US" sz="1100">
              <a:solidFill>
                <a:schemeClr val="dk1"/>
              </a:solidFill>
              <a:effectLst/>
              <a:latin typeface="+mn-lt"/>
              <a:ea typeface="+mn-ea"/>
              <a:cs typeface="+mn-cs"/>
            </a:rPr>
            <a:t> 2 MAQS or Formic Pro pads, or strong formic acid treatment (time release or hard flash).  </a:t>
          </a:r>
          <a:r>
            <a:rPr lang="en-US" sz="1100">
              <a:solidFill>
                <a:srgbClr val="FF0000"/>
              </a:solidFill>
              <a:effectLst/>
              <a:latin typeface="+mn-lt"/>
              <a:ea typeface="+mn-ea"/>
              <a:cs typeface="+mn-cs"/>
            </a:rPr>
            <a:t>Best treatment for quick mite knockdown in warm weather.  </a:t>
          </a:r>
          <a:r>
            <a:rPr lang="en-US" sz="1100" b="1">
              <a:solidFill>
                <a:srgbClr val="FF0000"/>
              </a:solidFill>
              <a:effectLst/>
              <a:latin typeface="+mn-lt"/>
              <a:ea typeface="+mn-ea"/>
              <a:cs typeface="+mn-cs"/>
            </a:rPr>
            <a:t>Can be used during honey flow</a:t>
          </a:r>
          <a:r>
            <a:rPr lang="en-US" sz="1100">
              <a:solidFill>
                <a:srgbClr val="FF0000"/>
              </a:solidFill>
              <a:effectLst/>
              <a:latin typeface="+mn-lt"/>
              <a:ea typeface="+mn-ea"/>
              <a:cs typeface="+mn-cs"/>
            </a:rPr>
            <a:t>.</a:t>
          </a:r>
        </a:p>
        <a:p>
          <a:r>
            <a:rPr lang="en-US" sz="1100" b="1">
              <a:solidFill>
                <a:schemeClr val="dk1"/>
              </a:solidFill>
              <a:effectLst/>
              <a:latin typeface="+mn-lt"/>
              <a:ea typeface="+mn-ea"/>
              <a:cs typeface="+mn-cs"/>
            </a:rPr>
            <a:t>50% (approximate): </a:t>
          </a:r>
          <a:r>
            <a:rPr lang="en-US" sz="1100">
              <a:solidFill>
                <a:schemeClr val="dk1"/>
              </a:solidFill>
              <a:effectLst/>
              <a:latin typeface="+mn-lt"/>
              <a:ea typeface="+mn-ea"/>
              <a:cs typeface="+mn-cs"/>
            </a:rPr>
            <a:t>1 MAQS or Formic Pro pad, or single weak formic acid "knockback" treatment.  </a:t>
          </a:r>
          <a:r>
            <a:rPr lang="en-US" sz="1100">
              <a:solidFill>
                <a:srgbClr val="FF0000"/>
              </a:solidFill>
              <a:effectLst/>
              <a:latin typeface="+mn-lt"/>
              <a:ea typeface="+mn-ea"/>
              <a:cs typeface="+mn-cs"/>
            </a:rPr>
            <a:t>Quick knockback for buying time, easier on the queen. </a:t>
          </a:r>
        </a:p>
        <a:p>
          <a:r>
            <a:rPr lang="en-US" sz="1100" b="1">
              <a:solidFill>
                <a:schemeClr val="dk1"/>
              </a:solidFill>
              <a:effectLst/>
              <a:latin typeface="+mn-lt"/>
              <a:ea typeface="+mn-ea"/>
              <a:cs typeface="+mn-cs"/>
            </a:rPr>
            <a:t>80-90%:  </a:t>
          </a:r>
          <a:r>
            <a:rPr lang="en-US" sz="1100">
              <a:solidFill>
                <a:schemeClr val="dk1"/>
              </a:solidFill>
              <a:effectLst/>
              <a:latin typeface="+mn-lt"/>
              <a:ea typeface="+mn-ea"/>
              <a:cs typeface="+mn-cs"/>
            </a:rPr>
            <a:t>Hopguard 3 if colony is broodless; would require repeated applications if brood present.  </a:t>
          </a:r>
          <a:r>
            <a:rPr lang="en-US" sz="1100" b="1">
              <a:solidFill>
                <a:srgbClr val="FF0000"/>
              </a:solidFill>
              <a:effectLst/>
              <a:latin typeface="+mn-lt"/>
              <a:ea typeface="+mn-ea"/>
              <a:cs typeface="+mn-cs"/>
            </a:rPr>
            <a:t>Can be used during honey flow.</a:t>
          </a:r>
          <a:endParaRPr lang="en-US" sz="1100">
            <a:solidFill>
              <a:srgbClr val="FF0000"/>
            </a:solidFill>
            <a:effectLst/>
            <a:latin typeface="+mn-lt"/>
            <a:ea typeface="+mn-ea"/>
            <a:cs typeface="+mn-cs"/>
          </a:endParaRPr>
        </a:p>
        <a:p>
          <a:r>
            <a:rPr lang="en-US" sz="1100" b="1">
              <a:solidFill>
                <a:schemeClr val="dk1"/>
              </a:solidFill>
              <a:effectLst/>
              <a:latin typeface="+mn-lt"/>
              <a:ea typeface="+mn-ea"/>
              <a:cs typeface="+mn-cs"/>
            </a:rPr>
            <a:t>25%: </a:t>
          </a:r>
          <a:r>
            <a:rPr lang="en-US" sz="1100">
              <a:solidFill>
                <a:schemeClr val="dk1"/>
              </a:solidFill>
              <a:effectLst/>
              <a:latin typeface="+mn-lt"/>
              <a:ea typeface="+mn-ea"/>
              <a:cs typeface="+mn-cs"/>
            </a:rPr>
            <a:t>A single powdered sugar dusting, assuming 50% drop of phoretic mites. </a:t>
          </a:r>
          <a:r>
            <a:rPr lang="en-US" sz="1100">
              <a:solidFill>
                <a:srgbClr val="FF0000"/>
              </a:solidFill>
              <a:effectLst/>
              <a:latin typeface="+mn-lt"/>
              <a:ea typeface="+mn-ea"/>
              <a:cs typeface="+mn-cs"/>
            </a:rPr>
            <a:t>Requires multiple and continued applications.</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15-20%: </a:t>
          </a:r>
          <a:r>
            <a:rPr lang="en-US" sz="1100">
              <a:solidFill>
                <a:schemeClr val="dk1"/>
              </a:solidFill>
              <a:effectLst/>
              <a:latin typeface="+mn-lt"/>
              <a:ea typeface="+mn-ea"/>
              <a:cs typeface="+mn-cs"/>
            </a:rPr>
            <a:t>Complete removal of drone brood, if done early in the season, each removal. </a:t>
          </a:r>
          <a:r>
            <a:rPr lang="en-US" sz="1100">
              <a:solidFill>
                <a:srgbClr val="FF0000"/>
              </a:solidFill>
              <a:effectLst/>
              <a:latin typeface="+mn-lt"/>
              <a:ea typeface="+mn-ea"/>
              <a:cs typeface="+mn-cs"/>
            </a:rPr>
            <a:t>Provides some reduction, but labor intensive.</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40-60%: </a:t>
          </a:r>
          <a:r>
            <a:rPr lang="en-US" sz="1100">
              <a:solidFill>
                <a:schemeClr val="dk1"/>
              </a:solidFill>
              <a:effectLst/>
              <a:latin typeface="+mn-lt"/>
              <a:ea typeface="+mn-ea"/>
              <a:cs typeface="+mn-cs"/>
            </a:rPr>
            <a:t>The issuance of a prime spring swarm.</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80-95%: </a:t>
          </a:r>
          <a:r>
            <a:rPr lang="en-US" sz="1100">
              <a:solidFill>
                <a:schemeClr val="dk1"/>
              </a:solidFill>
              <a:effectLst/>
              <a:latin typeface="+mn-lt"/>
              <a:ea typeface="+mn-ea"/>
              <a:cs typeface="+mn-cs"/>
            </a:rPr>
            <a:t>Oxalic dribble or vaporization when broodless.  </a:t>
          </a:r>
          <a:r>
            <a:rPr lang="en-US" sz="1100">
              <a:solidFill>
                <a:srgbClr val="FF0000"/>
              </a:solidFill>
              <a:effectLst/>
              <a:latin typeface="+mn-lt"/>
              <a:ea typeface="+mn-ea"/>
              <a:cs typeface="+mn-cs"/>
            </a:rPr>
            <a:t>Excellent reduction when colony is broodless, due to natural or induced brood break.</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15-45%: </a:t>
          </a:r>
          <a:r>
            <a:rPr lang="en-US" sz="1100">
              <a:solidFill>
                <a:schemeClr val="dk1"/>
              </a:solidFill>
              <a:effectLst/>
              <a:latin typeface="+mn-lt"/>
              <a:ea typeface="+mn-ea"/>
              <a:cs typeface="+mn-cs"/>
            </a:rPr>
            <a:t>One Oxalic dribble or vaporization in hive containing brood, proportional to the % mites of phoretic.  </a:t>
          </a:r>
          <a:r>
            <a:rPr lang="en-US" sz="1100">
              <a:solidFill>
                <a:srgbClr val="FF0000"/>
              </a:solidFill>
              <a:effectLst/>
              <a:latin typeface="+mn-lt"/>
              <a:ea typeface="+mn-ea"/>
              <a:cs typeface="+mn-cs"/>
            </a:rPr>
            <a:t>Limited reduction when colonies contain brood.</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85%, 3x: Extended-release OA/glycerin towels or sponges; for end result at 45 days, enter 85% for three consecutive time periods, starting at time of application.  </a:t>
          </a:r>
          <a:r>
            <a:rPr lang="en-US" sz="1100" b="1">
              <a:solidFill>
                <a:srgbClr val="FF0000"/>
              </a:solidFill>
              <a:effectLst/>
              <a:latin typeface="+mn-lt"/>
              <a:ea typeface="+mn-ea"/>
              <a:cs typeface="+mn-cs"/>
            </a:rPr>
            <a:t>Not yet approved. </a:t>
          </a:r>
        </a:p>
        <a:p>
          <a:endParaRPr lang="en-US" sz="1100" b="1">
            <a:solidFill>
              <a:srgbClr val="FF0000"/>
            </a:solidFill>
            <a:effectLst/>
            <a:latin typeface="+mn-lt"/>
            <a:ea typeface="+mn-ea"/>
            <a:cs typeface="+mn-cs"/>
          </a:endParaRPr>
        </a:p>
        <a:p>
          <a:pPr eaLnBrk="1" fontAlgn="auto" latinLnBrk="0" hangingPunct="1"/>
          <a:r>
            <a:rPr lang="en-US" sz="1100" b="1">
              <a:solidFill>
                <a:srgbClr val="FF0000"/>
              </a:solidFill>
              <a:effectLst/>
              <a:latin typeface="+mn-lt"/>
              <a:ea typeface="+mn-ea"/>
              <a:cs typeface="+mn-cs"/>
            </a:rPr>
            <a:t>An</a:t>
          </a:r>
          <a:r>
            <a:rPr lang="en-US" sz="1100" b="1" baseline="0">
              <a:solidFill>
                <a:srgbClr val="FF0000"/>
              </a:solidFill>
              <a:effectLst/>
              <a:latin typeface="+mn-lt"/>
              <a:ea typeface="+mn-ea"/>
              <a:cs typeface="+mn-cs"/>
            </a:rPr>
            <a:t> induced brood break by removing the queen.  </a:t>
          </a:r>
          <a:r>
            <a:rPr lang="en-US" sz="1100" b="0" baseline="0">
              <a:solidFill>
                <a:schemeClr val="dk1"/>
              </a:solidFill>
              <a:effectLst/>
              <a:latin typeface="+mn-lt"/>
              <a:ea typeface="+mn-ea"/>
              <a:cs typeface="+mn-cs"/>
            </a:rPr>
            <a:t>Thanks  to  beekeeper Rick for the idea.  You can estimate the rough effect forcing a colony  to rear a new queen, since  the 12 days that brood is capped is close to the 15-day calculation intervals, and the 22-30 days that it typically take for a new queen to start laying is close to two 15-day intervals.  </a:t>
          </a:r>
          <a:r>
            <a:rPr lang="en-US" sz="1100" b="1" baseline="0">
              <a:solidFill>
                <a:schemeClr val="dk1"/>
              </a:solidFill>
              <a:effectLst/>
              <a:latin typeface="+mn-lt"/>
              <a:ea typeface="+mn-ea"/>
              <a:cs typeface="+mn-cs"/>
            </a:rPr>
            <a:t>A brood break during spring buildup can greatly decrease the  varroa infestation rate for the rest of the year, but at a substantial cost in colony buildup.</a:t>
          </a:r>
          <a:endParaRPr lang="en-US">
            <a:effectLst/>
          </a:endParaRPr>
        </a:p>
        <a:p>
          <a:pPr eaLnBrk="1" fontAlgn="auto" latinLnBrk="0" hangingPunct="1"/>
          <a:r>
            <a:rPr lang="en-US" sz="1100" b="0" baseline="0">
              <a:solidFill>
                <a:schemeClr val="dk1"/>
              </a:solidFill>
              <a:effectLst/>
              <a:latin typeface="+mn-lt"/>
              <a:ea typeface="+mn-ea"/>
              <a:cs typeface="+mn-cs"/>
            </a:rPr>
            <a:t>Here's how.  </a:t>
          </a:r>
          <a:r>
            <a:rPr lang="en-US" sz="1100" b="1" baseline="0">
              <a:solidFill>
                <a:schemeClr val="dk1"/>
              </a:solidFill>
              <a:effectLst/>
              <a:latin typeface="+mn-lt"/>
              <a:ea typeface="+mn-ea"/>
              <a:cs typeface="+mn-cs"/>
            </a:rPr>
            <a:t>Make a copy </a:t>
          </a:r>
          <a:r>
            <a:rPr lang="en-US" sz="1100" b="0" baseline="0">
              <a:solidFill>
                <a:schemeClr val="dk1"/>
              </a:solidFill>
              <a:effectLst/>
              <a:latin typeface="+mn-lt"/>
              <a:ea typeface="+mn-ea"/>
              <a:cs typeface="+mn-cs"/>
            </a:rPr>
            <a:t>of Current Version on a new tab (so you don't screw up the original). Temporarily unlock</a:t>
          </a:r>
          <a:r>
            <a:rPr lang="en-US" sz="1100" b="0" i="1" baseline="0">
              <a:solidFill>
                <a:schemeClr val="dk1"/>
              </a:solidFill>
              <a:effectLst/>
              <a:latin typeface="+mn-lt"/>
              <a:ea typeface="+mn-ea"/>
              <a:cs typeface="+mn-cs"/>
            </a:rPr>
            <a:t> that </a:t>
          </a:r>
          <a:r>
            <a:rPr lang="en-US" sz="1100" b="0" baseline="0">
              <a:solidFill>
                <a:schemeClr val="dk1"/>
              </a:solidFill>
              <a:effectLst/>
              <a:latin typeface="+mn-lt"/>
              <a:ea typeface="+mn-ea"/>
              <a:cs typeface="+mn-cs"/>
            </a:rPr>
            <a:t>worksheet (go to Review, use password "sb").  Highlightthe row number (at far left) of the date </a:t>
          </a:r>
          <a:r>
            <a:rPr lang="en-US" sz="1100" b="0" i="1" u="sng" baseline="0">
              <a:solidFill>
                <a:schemeClr val="dk1"/>
              </a:solidFill>
              <a:effectLst/>
              <a:latin typeface="+mn-lt"/>
              <a:ea typeface="+mn-ea"/>
              <a:cs typeface="+mn-cs"/>
            </a:rPr>
            <a:t>one time period after </a:t>
          </a:r>
          <a:r>
            <a:rPr lang="en-US" sz="1100" b="0" i="1" baseline="0">
              <a:solidFill>
                <a:schemeClr val="dk1"/>
              </a:solidFill>
              <a:effectLst/>
              <a:latin typeface="+mn-lt"/>
              <a:ea typeface="+mn-ea"/>
              <a:cs typeface="+mn-cs"/>
            </a:rPr>
            <a:t>you remove the </a:t>
          </a:r>
          <a:r>
            <a:rPr lang="en-US" sz="1100" b="0" i="0" baseline="0">
              <a:solidFill>
                <a:schemeClr val="dk1"/>
              </a:solidFill>
              <a:effectLst/>
              <a:latin typeface="+mn-lt"/>
              <a:ea typeface="+mn-ea"/>
              <a:cs typeface="+mn-cs"/>
            </a:rPr>
            <a:t>queen ( this allows for the mites already in the brood to continue to reproduce for one time period).   Then go</a:t>
          </a:r>
          <a:r>
            <a:rPr lang="en-US" sz="1100" b="0" baseline="0">
              <a:solidFill>
                <a:schemeClr val="dk1"/>
              </a:solidFill>
              <a:effectLst/>
              <a:latin typeface="+mn-lt"/>
              <a:ea typeface="+mn-ea"/>
              <a:cs typeface="+mn-cs"/>
            </a:rPr>
            <a:t> to column  DA.  Scroll  down to the highlighted row, and replace the cell value  and the one below it, with zeroes (this eliminates mite reproduction for 30 days).  The model  will now recalculate with the brood break.  Again, this will be a rough estimate of the effect.</a:t>
          </a:r>
          <a:endParaRPr lang="en-US">
            <a:effectLst/>
          </a:endParaRPr>
        </a:p>
        <a:p>
          <a:pPr eaLnBrk="1" fontAlgn="auto" latinLnBrk="0" hangingPunct="1"/>
          <a:r>
            <a:rPr lang="en-US" sz="1100" b="0" baseline="0">
              <a:solidFill>
                <a:schemeClr val="dk1"/>
              </a:solidFill>
              <a:effectLst/>
              <a:latin typeface="+mn-lt"/>
              <a:ea typeface="+mn-ea"/>
              <a:cs typeface="+mn-cs"/>
            </a:rPr>
            <a:t>You can set the worksheet back to normal by dragging the formulas back down from the cell above the  first changed cell.  And then protect the  worksheet again.  </a:t>
          </a:r>
          <a:endParaRPr lang="en-US">
            <a:effectLst/>
          </a:endParaRPr>
        </a:p>
        <a:p>
          <a:endParaRPr lang="en-US" sz="1100">
            <a:solidFill>
              <a:srgbClr val="FF0000"/>
            </a:solidFill>
          </a:endParaRPr>
        </a:p>
      </xdr:txBody>
    </xdr:sp>
    <xdr:clientData/>
  </xdr:twoCellAnchor>
  <xdr:twoCellAnchor>
    <xdr:from>
      <xdr:col>38</xdr:col>
      <xdr:colOff>28222</xdr:colOff>
      <xdr:row>3</xdr:row>
      <xdr:rowOff>42334</xdr:rowOff>
    </xdr:from>
    <xdr:to>
      <xdr:col>39</xdr:col>
      <xdr:colOff>155222</xdr:colOff>
      <xdr:row>4</xdr:row>
      <xdr:rowOff>28223</xdr:rowOff>
    </xdr:to>
    <xdr:sp macro="" textlink="">
      <xdr:nvSpPr>
        <xdr:cNvPr id="16" name="Rectangle 15"/>
        <xdr:cNvSpPr/>
      </xdr:nvSpPr>
      <xdr:spPr>
        <a:xfrm>
          <a:off x="15190611" y="1559278"/>
          <a:ext cx="444500" cy="211667"/>
        </a:xfrm>
        <a:prstGeom prst="rect">
          <a:avLst/>
        </a:prstGeom>
        <a:solidFill>
          <a:srgbClr val="B3E97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sym typeface="Wingdings"/>
            </a:rPr>
            <a:t></a:t>
          </a:r>
          <a:endParaRPr lang="en-US" sz="1100">
            <a:solidFill>
              <a:schemeClr val="tx1"/>
            </a:solidFill>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860909" y="1773800"/>
          <a:ext cx="780635" cy="2615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dr:relSizeAnchor xmlns:cdr="http://schemas.openxmlformats.org/drawingml/2006/chartDrawing">
    <cdr:from>
      <cdr:x>0.00527</cdr:x>
      <cdr:y>0.79712</cdr:y>
    </cdr:from>
    <cdr:to>
      <cdr:x>0.0716</cdr:x>
      <cdr:y>0.95059</cdr:y>
    </cdr:to>
    <cdr:sp macro="" textlink="">
      <cdr:nvSpPr>
        <cdr:cNvPr id="2" name="TextBox 1"/>
        <cdr:cNvSpPr txBox="1"/>
      </cdr:nvSpPr>
      <cdr:spPr>
        <a:xfrm xmlns:a="http://schemas.openxmlformats.org/drawingml/2006/main">
          <a:off x="56410" y="2572328"/>
          <a:ext cx="709480" cy="4952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FF0000"/>
              </a:solidFill>
            </a:rPr>
            <a:t>Starting</a:t>
          </a:r>
          <a:r>
            <a:rPr lang="en-US" sz="1100" b="1" baseline="0">
              <a:solidFill>
                <a:srgbClr val="FF0000"/>
              </a:solidFill>
            </a:rPr>
            <a:t> mites</a:t>
          </a:r>
          <a:endParaRPr lang="en-US" sz="1100" b="1">
            <a:solidFill>
              <a:srgbClr val="FF0000"/>
            </a:solidFill>
          </a:endParaRPr>
        </a:p>
      </cdr:txBody>
    </cdr:sp>
  </cdr:relSizeAnchor>
  <cdr:relSizeAnchor xmlns:cdr="http://schemas.openxmlformats.org/drawingml/2006/chartDrawing">
    <cdr:from>
      <cdr:x>0.93368</cdr:x>
      <cdr:y>0.80131</cdr:y>
    </cdr:from>
    <cdr:to>
      <cdr:x>1</cdr:x>
      <cdr:y>0.95478</cdr:y>
    </cdr:to>
    <cdr:sp macro="" textlink="">
      <cdr:nvSpPr>
        <cdr:cNvPr id="4" name="TextBox 1"/>
        <cdr:cNvSpPr txBox="1"/>
      </cdr:nvSpPr>
      <cdr:spPr>
        <a:xfrm xmlns:a="http://schemas.openxmlformats.org/drawingml/2006/main">
          <a:off x="9986849" y="2585846"/>
          <a:ext cx="709373" cy="4952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FF0000"/>
              </a:solidFill>
            </a:rPr>
            <a:t>Ending</a:t>
          </a:r>
          <a:r>
            <a:rPr lang="en-US" sz="1100" b="1" baseline="0">
              <a:solidFill>
                <a:srgbClr val="FF0000"/>
              </a:solidFill>
            </a:rPr>
            <a:t> mites</a:t>
          </a:r>
          <a:endParaRPr lang="en-US" sz="11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29</xdr:row>
      <xdr:rowOff>2428874</xdr:rowOff>
    </xdr:from>
    <xdr:to>
      <xdr:col>1</xdr:col>
      <xdr:colOff>5298281</xdr:colOff>
      <xdr:row>53</xdr:row>
      <xdr:rowOff>119061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59533</xdr:colOff>
      <xdr:row>171</xdr:row>
      <xdr:rowOff>47625</xdr:rowOff>
    </xdr:from>
    <xdr:to>
      <xdr:col>1</xdr:col>
      <xdr:colOff>5322095</xdr:colOff>
      <xdr:row>194</xdr:row>
      <xdr:rowOff>33337</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199</xdr:row>
      <xdr:rowOff>35719</xdr:rowOff>
    </xdr:from>
    <xdr:to>
      <xdr:col>1</xdr:col>
      <xdr:colOff>5298281</xdr:colOff>
      <xdr:row>222</xdr:row>
      <xdr:rowOff>21430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254</xdr:row>
      <xdr:rowOff>0</xdr:rowOff>
    </xdr:from>
    <xdr:to>
      <xdr:col>1</xdr:col>
      <xdr:colOff>5262562</xdr:colOff>
      <xdr:row>276</xdr:row>
      <xdr:rowOff>152400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114</xdr:row>
      <xdr:rowOff>0</xdr:rowOff>
    </xdr:from>
    <xdr:to>
      <xdr:col>1</xdr:col>
      <xdr:colOff>5212556</xdr:colOff>
      <xdr:row>137</xdr:row>
      <xdr:rowOff>119062</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114300</xdr:colOff>
      <xdr:row>86</xdr:row>
      <xdr:rowOff>9525</xdr:rowOff>
    </xdr:from>
    <xdr:to>
      <xdr:col>1</xdr:col>
      <xdr:colOff>5326856</xdr:colOff>
      <xdr:row>109</xdr:row>
      <xdr:rowOff>128587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58</xdr:row>
      <xdr:rowOff>0</xdr:rowOff>
    </xdr:from>
    <xdr:to>
      <xdr:col>1</xdr:col>
      <xdr:colOff>5212556</xdr:colOff>
      <xdr:row>83</xdr:row>
      <xdr:rowOff>23812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0</xdr:rowOff>
    </xdr:from>
    <xdr:to>
      <xdr:col>1</xdr:col>
      <xdr:colOff>5212556</xdr:colOff>
      <xdr:row>165</xdr:row>
      <xdr:rowOff>119062</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226</xdr:row>
      <xdr:rowOff>0</xdr:rowOff>
    </xdr:from>
    <xdr:to>
      <xdr:col>1</xdr:col>
      <xdr:colOff>5212556</xdr:colOff>
      <xdr:row>249</xdr:row>
      <xdr:rowOff>119062</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523874</xdr:colOff>
      <xdr:row>1</xdr:row>
      <xdr:rowOff>111124</xdr:rowOff>
    </xdr:from>
    <xdr:to>
      <xdr:col>48</xdr:col>
      <xdr:colOff>603249</xdr:colOff>
      <xdr:row>28</xdr:row>
      <xdr:rowOff>107949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12701</xdr:colOff>
      <xdr:row>0</xdr:row>
      <xdr:rowOff>57150</xdr:rowOff>
    </xdr:from>
    <xdr:to>
      <xdr:col>2</xdr:col>
      <xdr:colOff>3175</xdr:colOff>
      <xdr:row>20</xdr:row>
      <xdr:rowOff>78191</xdr:rowOff>
    </xdr:to>
    <xdr:pic>
      <xdr:nvPicPr>
        <xdr:cNvPr id="6" name="Picture 5"/>
        <xdr:cNvPicPr>
          <a:picLocks noChangeAspect="1"/>
        </xdr:cNvPicPr>
      </xdr:nvPicPr>
      <xdr:blipFill>
        <a:blip xmlns:r="http://schemas.openxmlformats.org/officeDocument/2006/relationships" r:embed="rId11" cstate="print"/>
        <a:stretch>
          <a:fillRect/>
        </a:stretch>
      </xdr:blipFill>
      <xdr:spPr>
        <a:xfrm>
          <a:off x="120651" y="57150"/>
          <a:ext cx="5629274" cy="3308754"/>
        </a:xfrm>
        <a:prstGeom prst="rect">
          <a:avLst/>
        </a:prstGeom>
      </xdr:spPr>
    </xdr:pic>
    <xdr:clientData/>
  </xdr:twoCellAnchor>
  <xdr:twoCellAnchor>
    <xdr:from>
      <xdr:col>1</xdr:col>
      <xdr:colOff>0</xdr:colOff>
      <xdr:row>166</xdr:row>
      <xdr:rowOff>0</xdr:rowOff>
    </xdr:from>
    <xdr:to>
      <xdr:col>3</xdr:col>
      <xdr:colOff>785812</xdr:colOff>
      <xdr:row>168</xdr:row>
      <xdr:rowOff>23813</xdr:rowOff>
    </xdr:to>
    <xdr:sp macro="" textlink="">
      <xdr:nvSpPr>
        <xdr:cNvPr id="18" name="TextBox 17"/>
        <xdr:cNvSpPr txBox="1"/>
      </xdr:nvSpPr>
      <xdr:spPr>
        <a:xfrm>
          <a:off x="107156" y="38695313"/>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Andrew Munn, Manitoba, for the adustment of the  bee and brood figures.</a:t>
          </a:r>
          <a:endParaRPr lang="en-US" sz="1100"/>
        </a:p>
      </xdr:txBody>
    </xdr:sp>
    <xdr:clientData/>
  </xdr:twoCellAnchor>
  <xdr:twoCellAnchor>
    <xdr:from>
      <xdr:col>1</xdr:col>
      <xdr:colOff>0</xdr:colOff>
      <xdr:row>138</xdr:row>
      <xdr:rowOff>0</xdr:rowOff>
    </xdr:from>
    <xdr:to>
      <xdr:col>3</xdr:col>
      <xdr:colOff>785812</xdr:colOff>
      <xdr:row>140</xdr:row>
      <xdr:rowOff>23813</xdr:rowOff>
    </xdr:to>
    <xdr:sp macro="" textlink="">
      <xdr:nvSpPr>
        <xdr:cNvPr id="20" name="TextBox 19"/>
        <xdr:cNvSpPr txBox="1"/>
      </xdr:nvSpPr>
      <xdr:spPr>
        <a:xfrm>
          <a:off x="107156" y="31765875"/>
          <a:ext cx="6953250" cy="357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Thanks to </a:t>
          </a:r>
          <a:r>
            <a:rPr lang="en-US" sz="1100" b="0" i="0">
              <a:solidFill>
                <a:schemeClr val="dk1"/>
              </a:solidFill>
              <a:effectLst/>
              <a:latin typeface="+mn-lt"/>
              <a:ea typeface="+mn-ea"/>
              <a:cs typeface="+mn-cs"/>
            </a:rPr>
            <a:t>Rob Stone, Orange County, Calif for the bee and brood figures.</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xdr:colOff>
      <xdr:row>0</xdr:row>
      <xdr:rowOff>25400</xdr:rowOff>
    </xdr:from>
    <xdr:to>
      <xdr:col>12</xdr:col>
      <xdr:colOff>387350</xdr:colOff>
      <xdr:row>7</xdr:row>
      <xdr:rowOff>50800</xdr:rowOff>
    </xdr:to>
    <xdr:sp macro="" textlink="">
      <xdr:nvSpPr>
        <xdr:cNvPr id="3" name="TextBox 2"/>
        <xdr:cNvSpPr txBox="1"/>
      </xdr:nvSpPr>
      <xdr:spPr>
        <a:xfrm>
          <a:off x="615950" y="25400"/>
          <a:ext cx="7696200" cy="113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r>
            <a:rPr lang="en-US" sz="1100"/>
            <a:t>Bees drift from hive to hive,</a:t>
          </a:r>
          <a:r>
            <a:rPr lang="en-US" sz="1100" baseline="0"/>
            <a:t> up to a mile from their parent hive, and these bees can carry mites.  And in areas where varroa-weaked colonies get robbed in late summer, mites use the opportunity to jump onto the returning robbers.  Therefore, i</a:t>
          </a:r>
          <a:r>
            <a:rPr lang="en-US" sz="1100"/>
            <a:t>f there are other beekeepers or feral colonies around your apiary, you must account for mite immigration.  </a:t>
          </a:r>
        </a:p>
        <a:p>
          <a:r>
            <a:rPr lang="en-US" sz="1100"/>
            <a:t>    Mite </a:t>
          </a:r>
          <a:r>
            <a:rPr lang="en-US" sz="1100" baseline="0"/>
            <a:t>immigration takes place mainly in late summer and fall, and varies greatly by year and by apiary.  Based upon my own data, it varies wildly from hive to hive in the same yard (counts for 12 monitored hives in my own yard ranged from 50-500).  Measured immigration values into a hive  have been over 4000 mites (Imdorf 2003), Greatti (1992)!  So set your value accordingly.</a:t>
          </a:r>
          <a:endParaRPr lang="en-US" sz="1100"/>
        </a:p>
      </xdr:txBody>
    </xdr:sp>
    <xdr:clientData/>
  </xdr:twoCellAnchor>
  <xdr:twoCellAnchor>
    <xdr:from>
      <xdr:col>10</xdr:col>
      <xdr:colOff>149225</xdr:colOff>
      <xdr:row>9</xdr:row>
      <xdr:rowOff>22225</xdr:rowOff>
    </xdr:from>
    <xdr:to>
      <xdr:col>17</xdr:col>
      <xdr:colOff>454025</xdr:colOff>
      <xdr:row>22</xdr:row>
      <xdr:rowOff>98425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1</xdr:row>
      <xdr:rowOff>28575</xdr:rowOff>
    </xdr:from>
    <xdr:to>
      <xdr:col>9</xdr:col>
      <xdr:colOff>133350</xdr:colOff>
      <xdr:row>26</xdr:row>
      <xdr:rowOff>98425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47625</xdr:rowOff>
    </xdr:from>
    <xdr:to>
      <xdr:col>8</xdr:col>
      <xdr:colOff>228600</xdr:colOff>
      <xdr:row>17</xdr:row>
      <xdr:rowOff>28575</xdr:rowOff>
    </xdr:to>
    <xdr:sp macro="" textlink="">
      <xdr:nvSpPr>
        <xdr:cNvPr id="3" name="Up Arrow 2"/>
        <xdr:cNvSpPr>
          <a:spLocks noChangeAspect="1"/>
        </xdr:cNvSpPr>
      </xdr:nvSpPr>
      <xdr:spPr>
        <a:xfrm>
          <a:off x="4648200" y="1635125"/>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Increase</a:t>
          </a:r>
        </a:p>
      </xdr:txBody>
    </xdr:sp>
    <xdr:clientData/>
  </xdr:twoCellAnchor>
  <xdr:twoCellAnchor editAs="oneCell">
    <xdr:from>
      <xdr:col>7</xdr:col>
      <xdr:colOff>361950</xdr:colOff>
      <xdr:row>18</xdr:row>
      <xdr:rowOff>121771</xdr:rowOff>
    </xdr:from>
    <xdr:to>
      <xdr:col>8</xdr:col>
      <xdr:colOff>209550</xdr:colOff>
      <xdr:row>25</xdr:row>
      <xdr:rowOff>102721</xdr:rowOff>
    </xdr:to>
    <xdr:sp macro="" textlink="">
      <xdr:nvSpPr>
        <xdr:cNvPr id="4" name="Up Arrow 3"/>
        <xdr:cNvSpPr>
          <a:spLocks noChangeAspect="1"/>
        </xdr:cNvSpPr>
      </xdr:nvSpPr>
      <xdr:spPr>
        <a:xfrm rot="10800000">
          <a:off x="4629150" y="2979271"/>
          <a:ext cx="457200" cy="1092200"/>
        </a:xfrm>
        <a:prstGeom prst="upArrow">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lIns="0" tIns="0" rIns="0" bIns="91440" rtlCol="0" anchor="ctr"/>
        <a:lstStyle/>
        <a:p>
          <a:pPr algn="ctr"/>
          <a:r>
            <a:rPr lang="en-US" sz="1200">
              <a:solidFill>
                <a:srgbClr val="0070C0"/>
              </a:solidFill>
            </a:rPr>
            <a:t>Decrease</a:t>
          </a:r>
        </a:p>
      </xdr:txBody>
    </xdr:sp>
    <xdr:clientData/>
  </xdr:twoCellAnchor>
  <xdr:twoCellAnchor>
    <xdr:from>
      <xdr:col>18</xdr:col>
      <xdr:colOff>126999</xdr:colOff>
      <xdr:row>0</xdr:row>
      <xdr:rowOff>156135</xdr:rowOff>
    </xdr:from>
    <xdr:to>
      <xdr:col>30</xdr:col>
      <xdr:colOff>56030</xdr:colOff>
      <xdr:row>28</xdr:row>
      <xdr:rowOff>280146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134470</xdr:colOff>
      <xdr:row>1</xdr:row>
      <xdr:rowOff>22412</xdr:rowOff>
    </xdr:from>
    <xdr:to>
      <xdr:col>17</xdr:col>
      <xdr:colOff>526676</xdr:colOff>
      <xdr:row>19</xdr:row>
      <xdr:rowOff>78441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224118</xdr:colOff>
      <xdr:row>28</xdr:row>
      <xdr:rowOff>463177</xdr:rowOff>
    </xdr:from>
    <xdr:to>
      <xdr:col>26</xdr:col>
      <xdr:colOff>100107</xdr:colOff>
      <xdr:row>65</xdr:row>
      <xdr:rowOff>64060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50706" y="4855883"/>
          <a:ext cx="4776695" cy="6219824"/>
        </a:xfrm>
        <a:prstGeom prst="rect">
          <a:avLst/>
        </a:prstGeom>
      </xdr:spPr>
    </xdr:pic>
    <xdr:clientData/>
  </xdr:twoCellAnchor>
  <xdr:twoCellAnchor>
    <xdr:from>
      <xdr:col>5</xdr:col>
      <xdr:colOff>593912</xdr:colOff>
      <xdr:row>69</xdr:row>
      <xdr:rowOff>67236</xdr:rowOff>
    </xdr:from>
    <xdr:to>
      <xdr:col>13</xdr:col>
      <xdr:colOff>493059</xdr:colOff>
      <xdr:row>74</xdr:row>
      <xdr:rowOff>100853</xdr:rowOff>
    </xdr:to>
    <xdr:sp macro="" textlink="">
      <xdr:nvSpPr>
        <xdr:cNvPr id="8" name="TextBox 7"/>
        <xdr:cNvSpPr txBox="1"/>
      </xdr:nvSpPr>
      <xdr:spPr>
        <a:xfrm>
          <a:off x="3641912" y="11338486"/>
          <a:ext cx="4775947" cy="827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self-explanatory</a:t>
          </a:r>
          <a:r>
            <a:rPr lang="en-US" sz="1100"/>
            <a:t> graph, graph above, by kind permission of the author, is from Martin, S. J. (1997) Life and death of Varroa.  In Varroa! Fight the mite.  P. Munn  &amp; R. Jones (eds.), pp 3-10.  International Bee Research Association.  Cardiff.</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0.10928</cdr:x>
      <cdr:y>0.65475</cdr:y>
    </cdr:from>
    <cdr:to>
      <cdr:x>0.7751</cdr:x>
      <cdr:y>0.65749</cdr:y>
    </cdr:to>
    <cdr:cxnSp macro="">
      <cdr:nvCxnSpPr>
        <cdr:cNvPr id="3" name="Straight Connector 2"/>
        <cdr:cNvCxnSpPr>
          <a:cxnSpLocks xmlns:a="http://schemas.openxmlformats.org/drawingml/2006/main" noChangeAspect="1"/>
        </cdr:cNvCxnSpPr>
      </cdr:nvCxnSpPr>
      <cdr:spPr>
        <a:xfrm xmlns:a="http://schemas.openxmlformats.org/drawingml/2006/main" flipV="1">
          <a:off x="532258" y="2908300"/>
          <a:ext cx="3242817" cy="12149"/>
        </a:xfrm>
        <a:prstGeom xmlns:a="http://schemas.openxmlformats.org/drawingml/2006/main" prst="line">
          <a:avLst/>
        </a:prstGeom>
        <a:ln xmlns:a="http://schemas.openxmlformats.org/drawingml/2006/main" w="25400">
          <a:solidFill>
            <a:srgbClr val="0070C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0.76187</cdr:x>
      <cdr:y>0.6218</cdr:y>
    </cdr:from>
    <cdr:to>
      <cdr:x>0.98479</cdr:x>
      <cdr:y>0.70352</cdr:y>
    </cdr:to>
    <cdr:sp macro="" textlink="">
      <cdr:nvSpPr>
        <cdr:cNvPr id="5" name="TextBox 4"/>
        <cdr:cNvSpPr txBox="1">
          <a:spLocks xmlns:a="http://schemas.openxmlformats.org/drawingml/2006/main" noChangeAspect="1"/>
        </cdr:cNvSpPr>
      </cdr:nvSpPr>
      <cdr:spPr>
        <a:xfrm xmlns:a="http://schemas.openxmlformats.org/drawingml/2006/main">
          <a:off x="3710658" y="2761918"/>
          <a:ext cx="1085704" cy="3630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70C0"/>
              </a:solidFill>
            </a:rPr>
            <a:t>No </a:t>
          </a:r>
          <a:r>
            <a:rPr lang="en-US" sz="1200">
              <a:solidFill>
                <a:srgbClr val="0070C0"/>
              </a:solidFill>
            </a:rPr>
            <a:t>change</a:t>
          </a:r>
        </a:p>
      </cdr:txBody>
    </cdr:sp>
  </cdr:relSizeAnchor>
</c:userShapes>
</file>

<file path=xl/drawings/drawing7.xml><?xml version="1.0" encoding="utf-8"?>
<c:userShapes xmlns:c="http://schemas.openxmlformats.org/drawingml/2006/chart">
  <cdr:relSizeAnchor xmlns:cdr="http://schemas.openxmlformats.org/drawingml/2006/chartDrawing">
    <cdr:from>
      <cdr:x>0.13662</cdr:x>
      <cdr:y>0.0349</cdr:y>
    </cdr:from>
    <cdr:to>
      <cdr:x>0.82234</cdr:x>
      <cdr:y>0.22842</cdr:y>
    </cdr:to>
    <cdr:sp macro="" textlink="">
      <cdr:nvSpPr>
        <cdr:cNvPr id="2" name="TextBox 1"/>
        <cdr:cNvSpPr txBox="1"/>
      </cdr:nvSpPr>
      <cdr:spPr>
        <a:xfrm xmlns:a="http://schemas.openxmlformats.org/drawingml/2006/main">
          <a:off x="982383" y="157629"/>
          <a:ext cx="4930588" cy="8740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b="1"/>
            <a:t>Varroa r value vs.</a:t>
          </a:r>
        </a:p>
        <a:p xmlns:a="http://schemas.openxmlformats.org/drawingml/2006/main">
          <a:pPr algn="ctr"/>
          <a:r>
            <a:rPr lang="en-US" sz="2000" b="1"/>
            <a:t>absolute change in</a:t>
          </a:r>
          <a:r>
            <a:rPr lang="en-US" sz="2000" b="1" baseline="0"/>
            <a:t> mite population independent of those lost due to treatment </a:t>
          </a:r>
          <a:endParaRPr lang="en-US" sz="1100"/>
        </a:p>
      </cdr:txBody>
    </cdr:sp>
  </cdr:relSizeAnchor>
</c:userShapes>
</file>

<file path=xl/drawings/drawing8.xml><?xml version="1.0" encoding="utf-8"?>
<c:userShapes xmlns:c="http://schemas.openxmlformats.org/drawingml/2006/chart">
  <cdr:relSizeAnchor xmlns:cdr="http://schemas.openxmlformats.org/drawingml/2006/chartDrawing">
    <cdr:from>
      <cdr:x>0.7905</cdr:x>
      <cdr:y>0.52742</cdr:y>
    </cdr:from>
    <cdr:to>
      <cdr:x>0.91745</cdr:x>
      <cdr:y>0.60519</cdr:y>
    </cdr:to>
    <cdr:sp macro="" textlink="">
      <cdr:nvSpPr>
        <cdr:cNvPr id="3" name="TextBox 2"/>
        <cdr:cNvSpPr txBox="1"/>
      </cdr:nvSpPr>
      <cdr:spPr>
        <a:xfrm xmlns:a="http://schemas.openxmlformats.org/drawingml/2006/main">
          <a:off x="4669158" y="1778384"/>
          <a:ext cx="749837" cy="26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chemeClr val="bg1"/>
              </a:solidFill>
            </a:rPr>
            <a:t>CRASH</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361950</xdr:colOff>
      <xdr:row>2</xdr:row>
      <xdr:rowOff>101600</xdr:rowOff>
    </xdr:from>
    <xdr:to>
      <xdr:col>15</xdr:col>
      <xdr:colOff>501650</xdr:colOff>
      <xdr:row>34</xdr:row>
      <xdr:rowOff>50800</xdr:rowOff>
    </xdr:to>
    <xdr:sp macro="" textlink="">
      <xdr:nvSpPr>
        <xdr:cNvPr id="2" name="TextBox 1"/>
        <xdr:cNvSpPr txBox="1"/>
      </xdr:nvSpPr>
      <xdr:spPr>
        <a:xfrm>
          <a:off x="361950" y="419100"/>
          <a:ext cx="9283700" cy="502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Randy's Varroa Model</a:t>
          </a:r>
        </a:p>
        <a:p>
          <a:r>
            <a:rPr lang="en-US" sz="1100" b="0" baseline="0"/>
            <a:t>The beekeeping and bee research communities lacked a user-friendly, accurate model for projecting varroa population growth in a hive, that allowed for customization and the application of various treatments.</a:t>
          </a:r>
        </a:p>
        <a:p>
          <a:r>
            <a:rPr lang="en-US" sz="1100" b="0" baseline="0"/>
            <a:t>To that end, I spent a year to create a simple, completely customizable, model in Excel, with the main intent that it could be used by beekeepers to develop varroa management plans specific to their location and management style.  The user can also adjust every aspect of varroa reproductive success and honey bee resistance mechanisms to the mite.</a:t>
          </a: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t>I simplified the model by not attempting to account for the effects of varroa and associated viruses on the colony -- other than for the colony's eventual collapse once the mite infestation rate exceeded a determined level (under the assumption that varroa would be controlled before it reached that level).  The model accounts for every aspect of varroa biology that I could think of, and its simulations are typically remarkably accurate (based upon comparing its simulations to actual field data).  I offer the model to the research community as a prototype "work in progress," and regularly update it. Always use the most current version, available at </a:t>
          </a:r>
          <a:r>
            <a:rPr lang="en-US" sz="1100" u="sng">
              <a:solidFill>
                <a:schemeClr val="dk1"/>
              </a:solidFill>
              <a:effectLst/>
              <a:latin typeface="+mn-lt"/>
              <a:ea typeface="+mn-ea"/>
              <a:cs typeface="+mn-cs"/>
              <a:hlinkClick xmlns:r="http://schemas.openxmlformats.org/officeDocument/2006/relationships" r:id=""/>
            </a:rPr>
            <a:t>http://scientificbeekeeping.com/randys-varroa-model/</a:t>
          </a:r>
          <a:endParaRPr lang="en-US" sz="1100" b="0" baseline="0"/>
        </a:p>
        <a:p>
          <a:r>
            <a:rPr lang="en-US" sz="1100" b="0" baseline="0"/>
            <a:t>I solicit suggestions for improvement, and am happy to demonstrate how to use the model via teleconference.  I've protected most cells to avoid accidental changes; the cells can be unlocked with the password sb.  </a:t>
          </a:r>
          <a:endParaRPr lang="en-US" sz="1100">
            <a:solidFill>
              <a:schemeClr val="dk1"/>
            </a:solidFill>
            <a:effectLst/>
            <a:latin typeface="+mn-lt"/>
            <a:ea typeface="+mn-ea"/>
            <a:cs typeface="+mn-cs"/>
          </a:endParaRPr>
        </a:p>
        <a:p>
          <a:endParaRPr lang="en-US" sz="1100" b="0"/>
        </a:p>
        <a:p>
          <a:endParaRPr lang="en-US" sz="1100" b="1"/>
        </a:p>
        <a:p>
          <a:r>
            <a:rPr lang="en-US" sz="1100" b="1"/>
            <a:t>This model is a</a:t>
          </a:r>
          <a:r>
            <a:rPr lang="en-US" sz="1100" b="1" baseline="0"/>
            <a:t> work in progress, and I add improvements regularly.  Below are some adjustments that may need to be made.</a:t>
          </a:r>
          <a:endParaRPr lang="en-US" sz="1100" b="1"/>
        </a:p>
        <a:p>
          <a:endParaRPr lang="en-US" sz="1100"/>
        </a:p>
        <a:p>
          <a:r>
            <a:rPr lang="en-US" sz="1100"/>
            <a:t>After performing thousands of alcohol washes of colonies in my selective breeding program for varroa resistance, I observe that the mite infestation rate appears to build more slowly in small colonies as opposed to larger colonies.  This observation is supported by the data from Seeley's small colonies.  The Model does not currently reflect</a:t>
          </a:r>
          <a:r>
            <a:rPr lang="en-US" sz="1100" baseline="0"/>
            <a:t> this adequately.  </a:t>
          </a:r>
          <a:r>
            <a:rPr lang="en-US" sz="1100" baseline="0">
              <a:solidFill>
                <a:srgbClr val="FF0000"/>
              </a:solidFill>
            </a:rPr>
            <a:t>I may need to include an adjustment for colony size, although I'm not sure of the mechanism involved.</a:t>
          </a:r>
        </a:p>
        <a:p>
          <a:endParaRPr lang="en-US" sz="1100" baseline="0">
            <a:solidFill>
              <a:srgbClr val="FF0000"/>
            </a:solidFill>
          </a:endParaRPr>
        </a:p>
        <a:p>
          <a:r>
            <a:rPr lang="en-US" sz="1100"/>
            <a:t>Reyes-Qiuntana 2019 Impact of Varroa destructor and deformed wing virus on emergence, cellular immunity, wing integrity and survivorship of Africanized honey bees in Mexico.https://doi.org/10.1016/j.jip.2019.04.009  </a:t>
          </a:r>
          <a:r>
            <a:rPr lang="en-US" sz="1100">
              <a:solidFill>
                <a:srgbClr val="FF0000"/>
              </a:solidFill>
            </a:rPr>
            <a:t>Varroa infestation/DWV of a pupa results in a lower emergence rate of the pupa; should this be factored into the model?</a:t>
          </a:r>
        </a:p>
        <a:p>
          <a:r>
            <a:rPr lang="en-US" sz="1100">
              <a:solidFill>
                <a:srgbClr val="FF0000"/>
              </a:solidFill>
            </a:rPr>
            <a:t/>
          </a:r>
          <a:br>
            <a:rPr lang="en-US" sz="1100">
              <a:solidFill>
                <a:srgbClr val="FF0000"/>
              </a:solidFill>
            </a:rPr>
          </a:br>
          <a:r>
            <a:rPr lang="en-US" sz="1100">
              <a:solidFill>
                <a:schemeClr val="tx1"/>
              </a:solidFill>
            </a:rPr>
            <a:t>BartJan Fernhout of Arista Bee Research points</a:t>
          </a:r>
          <a:r>
            <a:rPr lang="en-US" sz="1100" baseline="0">
              <a:solidFill>
                <a:schemeClr val="tx1"/>
              </a:solidFill>
            </a:rPr>
            <a:t> out that </a:t>
          </a:r>
          <a:r>
            <a:rPr lang="en-US" sz="1100" baseline="0">
              <a:solidFill>
                <a:srgbClr val="FF0000"/>
              </a:solidFill>
            </a:rPr>
            <a:t>the VSH impact of the model may need to be adjusted in order to account for the elevated mortality rate of foundress mites following their disturbance during VSH. </a:t>
          </a:r>
          <a:endParaRPr lang="en-US" sz="1100">
            <a:solidFill>
              <a:srgbClr val="FF0000"/>
            </a:solidFill>
          </a:endParaRPr>
        </a:p>
        <a:p>
          <a:endParaRPr lang="en-US" sz="1100">
            <a:solidFill>
              <a:srgbClr val="FF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L154"/>
  <sheetViews>
    <sheetView tabSelected="1" zoomScale="90" zoomScaleNormal="90" workbookViewId="0">
      <selection activeCell="C22" sqref="C22"/>
    </sheetView>
  </sheetViews>
  <sheetFormatPr defaultRowHeight="12.5" x14ac:dyDescent="0.25"/>
  <cols>
    <col min="1" max="1" width="2.6328125" customWidth="1"/>
    <col min="2" max="2" width="15.6328125" bestFit="1" customWidth="1"/>
    <col min="3" max="30" width="5.1796875" customWidth="1"/>
    <col min="31"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13.81640625" customWidth="1"/>
    <col min="52" max="52" width="7" customWidth="1"/>
    <col min="53" max="53" width="8.54296875" customWidth="1"/>
    <col min="54" max="54" width="8.54296875" style="377" customWidth="1"/>
    <col min="55" max="55" width="8.54296875" customWidth="1"/>
    <col min="56" max="56" width="8.81640625" customWidth="1"/>
    <col min="57" max="57" width="12.54296875" customWidth="1"/>
    <col min="58" max="62" width="12.81640625" customWidth="1"/>
    <col min="63" max="64" width="10.54296875" customWidth="1"/>
    <col min="66" max="66" width="10.81640625" customWidth="1"/>
    <col min="68" max="68" width="8.54296875" customWidth="1"/>
    <col min="69" max="69" width="10.81640625" customWidth="1"/>
    <col min="71" max="71" width="10.81640625" customWidth="1"/>
    <col min="74" max="74" width="10.81640625" customWidth="1"/>
    <col min="75" max="75" width="8.81640625" style="255" customWidth="1"/>
    <col min="76" max="83" width="10.81640625" style="255" customWidth="1"/>
    <col min="84" max="84" width="11.81640625" style="255" customWidth="1"/>
    <col min="85" max="89" width="10.81640625" style="255" customWidth="1"/>
    <col min="90" max="100" width="10.81640625" customWidth="1"/>
    <col min="101" max="101" width="10.54296875" customWidth="1"/>
    <col min="102" max="102" width="9.81640625" customWidth="1"/>
    <col min="105" max="105" width="15" customWidth="1"/>
    <col min="106" max="106" width="11.54296875" bestFit="1" customWidth="1"/>
    <col min="107" max="108" width="10.81640625" customWidth="1"/>
    <col min="109" max="115" width="12.81640625" customWidth="1"/>
    <col min="116" max="116" width="15" customWidth="1"/>
    <col min="117" max="117" width="11.453125" customWidth="1"/>
    <col min="118" max="118" width="9.81640625" customWidth="1"/>
    <col min="119" max="119" width="12.81640625" style="18" customWidth="1"/>
    <col min="120" max="120" width="12.81640625" style="57" customWidth="1"/>
    <col min="121" max="121" width="12.81640625" style="18" customWidth="1"/>
    <col min="122" max="122" width="15" customWidth="1"/>
    <col min="123" max="123" width="11.81640625" customWidth="1"/>
    <col min="124" max="126" width="10.81640625" customWidth="1"/>
    <col min="127" max="128" width="9.81640625" customWidth="1"/>
    <col min="129" max="130" width="10.81640625" customWidth="1"/>
    <col min="131" max="132" width="9.81640625" customWidth="1"/>
    <col min="133" max="133" width="10.81640625" customWidth="1"/>
    <col min="134" max="136" width="9.81640625" customWidth="1"/>
    <col min="137" max="137" width="12.81640625" customWidth="1"/>
    <col min="138" max="139" width="9.81640625" customWidth="1"/>
    <col min="140" max="142" width="10.81640625" customWidth="1"/>
  </cols>
  <sheetData>
    <row r="1" spans="1:168" ht="13" x14ac:dyDescent="0.3">
      <c r="AE1" s="562" t="s">
        <v>354</v>
      </c>
      <c r="AF1" s="562"/>
      <c r="AG1" s="562"/>
      <c r="AH1" s="562"/>
      <c r="AI1" s="562"/>
      <c r="AJ1" s="562"/>
      <c r="AK1" s="562"/>
      <c r="AL1" s="562"/>
      <c r="AM1" s="562"/>
      <c r="AN1" s="562"/>
      <c r="AO1" s="562"/>
      <c r="AP1" s="562"/>
      <c r="AQ1" s="562"/>
      <c r="AR1" s="562"/>
      <c r="AS1" s="562"/>
      <c r="AT1" s="562"/>
      <c r="AU1" s="562"/>
      <c r="AV1" s="562"/>
      <c r="AW1" s="562"/>
      <c r="AX1" s="562"/>
      <c r="BO1" s="500" t="s">
        <v>108</v>
      </c>
      <c r="BP1" s="500"/>
      <c r="BQ1" s="500"/>
      <c r="BR1" s="500"/>
      <c r="BS1" s="500"/>
      <c r="BT1" s="501" t="s">
        <v>109</v>
      </c>
      <c r="BU1" s="501"/>
      <c r="BV1" s="501"/>
      <c r="BW1" s="501"/>
      <c r="BX1" s="501"/>
      <c r="BY1" s="501"/>
      <c r="BZ1" s="501"/>
      <c r="CA1" s="501"/>
      <c r="CB1" s="501"/>
      <c r="CC1" s="501"/>
      <c r="CD1"/>
      <c r="CE1"/>
      <c r="CF1" s="113"/>
      <c r="CG1" s="118" t="s">
        <v>110</v>
      </c>
      <c r="CH1" s="94"/>
      <c r="CI1" s="115"/>
      <c r="CJ1" s="115"/>
      <c r="CK1" s="115"/>
      <c r="CL1" s="113"/>
      <c r="CM1" s="117"/>
      <c r="CN1" s="113"/>
      <c r="CO1" s="94"/>
      <c r="CP1" s="52"/>
      <c r="CQ1" s="119" t="s">
        <v>111</v>
      </c>
      <c r="CR1" s="93"/>
      <c r="CS1" s="93"/>
      <c r="CT1" s="93"/>
      <c r="CU1" s="93"/>
      <c r="CV1" s="93"/>
      <c r="CW1" s="93"/>
      <c r="CX1" s="116"/>
      <c r="CY1" s="93"/>
      <c r="CZ1" s="93"/>
      <c r="DA1" s="138" t="s">
        <v>214</v>
      </c>
      <c r="DB1" s="502" t="s">
        <v>221</v>
      </c>
      <c r="DC1" s="502"/>
      <c r="DD1" s="377"/>
      <c r="DE1" s="139" t="s">
        <v>149</v>
      </c>
      <c r="DF1" s="57"/>
      <c r="DG1" s="57"/>
      <c r="DH1" s="138" t="s">
        <v>150</v>
      </c>
      <c r="DJ1" s="369" t="s">
        <v>151</v>
      </c>
      <c r="DK1" s="369" t="s">
        <v>151</v>
      </c>
      <c r="DL1" s="246" t="s">
        <v>150</v>
      </c>
      <c r="DM1" s="369" t="s">
        <v>151</v>
      </c>
      <c r="DN1" s="44"/>
      <c r="DO1" s="57"/>
      <c r="DQ1" s="369" t="s">
        <v>151</v>
      </c>
      <c r="DR1" s="139" t="s">
        <v>149</v>
      </c>
      <c r="DS1" s="139"/>
      <c r="DU1" s="505" t="s">
        <v>287</v>
      </c>
      <c r="DV1" s="505"/>
      <c r="DW1" s="505"/>
      <c r="EB1" s="506" t="s">
        <v>216</v>
      </c>
      <c r="EC1" s="506"/>
      <c r="ED1" s="506"/>
      <c r="EE1" s="506"/>
      <c r="EF1" s="506"/>
      <c r="EG1" s="506"/>
      <c r="EI1" s="507" t="s">
        <v>179</v>
      </c>
      <c r="EJ1" s="507"/>
      <c r="EK1" s="507"/>
    </row>
    <row r="2" spans="1:168" s="150" customFormat="1" ht="12.75" customHeight="1" x14ac:dyDescent="0.3">
      <c r="J2" s="150">
        <v>100</v>
      </c>
      <c r="K2" s="150">
        <v>50</v>
      </c>
      <c r="Q2" s="150">
        <v>85</v>
      </c>
      <c r="R2" s="150" t="s">
        <v>360</v>
      </c>
      <c r="AE2" s="570"/>
      <c r="AF2" s="570"/>
      <c r="AG2" s="570"/>
      <c r="AH2" s="570"/>
      <c r="AI2" s="570"/>
      <c r="AJ2" s="273"/>
      <c r="AK2" s="273"/>
      <c r="AL2" s="273"/>
      <c r="AM2" s="273"/>
      <c r="AN2" s="273"/>
      <c r="AO2" s="273"/>
      <c r="AP2" s="273"/>
      <c r="AQ2" s="273"/>
      <c r="AR2" s="273"/>
      <c r="AS2" s="273"/>
      <c r="AT2" s="273"/>
      <c r="AU2" s="273"/>
      <c r="AV2" s="273"/>
      <c r="AW2" s="273"/>
      <c r="AX2" s="273"/>
      <c r="BB2" s="371"/>
      <c r="BE2" s="371" t="s">
        <v>208</v>
      </c>
      <c r="BM2" s="269"/>
      <c r="BN2" s="269"/>
      <c r="BO2" s="270" t="s">
        <v>228</v>
      </c>
      <c r="BP2" s="172"/>
      <c r="BQ2" s="274" t="s">
        <v>208</v>
      </c>
      <c r="BR2" s="172"/>
      <c r="BS2" s="371" t="s">
        <v>208</v>
      </c>
      <c r="BT2" s="371"/>
      <c r="BU2" s="371"/>
      <c r="BV2" s="371" t="s">
        <v>208</v>
      </c>
      <c r="BW2" s="371"/>
      <c r="BX2" s="371" t="s">
        <v>208</v>
      </c>
      <c r="BY2" s="371" t="s">
        <v>208</v>
      </c>
      <c r="BZ2" s="274"/>
      <c r="CA2" s="371"/>
      <c r="CB2" s="371"/>
      <c r="CC2" s="371" t="s">
        <v>208</v>
      </c>
      <c r="CD2" s="172"/>
      <c r="CE2" s="274" t="s">
        <v>208</v>
      </c>
      <c r="CF2" s="371"/>
      <c r="CG2" s="371"/>
      <c r="CH2" s="371"/>
      <c r="CI2" s="371"/>
      <c r="CJ2" s="371" t="s">
        <v>326</v>
      </c>
      <c r="CK2" s="150" t="s">
        <v>326</v>
      </c>
      <c r="CL2" s="371" t="s">
        <v>208</v>
      </c>
      <c r="CM2" s="274" t="s">
        <v>208</v>
      </c>
      <c r="CN2" s="371"/>
      <c r="CO2" s="371"/>
      <c r="CP2" s="371"/>
      <c r="CQ2" s="371"/>
      <c r="CR2" s="371"/>
      <c r="CS2" s="371"/>
      <c r="CT2" s="371" t="s">
        <v>326</v>
      </c>
      <c r="CU2" s="150" t="s">
        <v>326</v>
      </c>
      <c r="CV2" s="371"/>
      <c r="CW2" s="371"/>
      <c r="CX2" s="274" t="s">
        <v>208</v>
      </c>
      <c r="CY2" s="371"/>
      <c r="CZ2" s="371"/>
      <c r="DA2" s="371" t="s">
        <v>208</v>
      </c>
      <c r="DB2" s="371" t="s">
        <v>208</v>
      </c>
      <c r="DC2" s="293" t="s">
        <v>208</v>
      </c>
      <c r="DD2" s="371"/>
      <c r="DE2" s="371"/>
      <c r="DF2" s="267" t="s">
        <v>208</v>
      </c>
      <c r="DG2" s="268" t="s">
        <v>208</v>
      </c>
      <c r="DH2" s="371" t="s">
        <v>208</v>
      </c>
      <c r="DK2" s="371" t="s">
        <v>208</v>
      </c>
      <c r="DL2" s="292" t="s">
        <v>208</v>
      </c>
      <c r="DM2" s="260" t="s">
        <v>208</v>
      </c>
      <c r="DN2" s="371"/>
      <c r="DO2" s="371"/>
      <c r="DP2" s="388"/>
      <c r="DQ2" s="371" t="s">
        <v>208</v>
      </c>
      <c r="DR2" s="371"/>
      <c r="DS2" s="371"/>
      <c r="DT2" s="371"/>
      <c r="DU2" s="505"/>
      <c r="DV2" s="505"/>
      <c r="DW2" s="505"/>
      <c r="DX2" s="508" t="s">
        <v>208</v>
      </c>
      <c r="DY2" s="508"/>
      <c r="DZ2" s="387"/>
      <c r="EA2" s="370"/>
      <c r="EB2" s="509" t="s">
        <v>208</v>
      </c>
      <c r="EC2" s="510"/>
      <c r="ED2" s="510"/>
      <c r="EE2" s="371"/>
      <c r="EF2" s="371" t="s">
        <v>208</v>
      </c>
      <c r="EG2" s="371" t="s">
        <v>208</v>
      </c>
      <c r="EH2" s="371"/>
      <c r="EI2" s="258"/>
      <c r="EJ2" s="258" t="s">
        <v>208</v>
      </c>
      <c r="EK2" s="371" t="s">
        <v>208</v>
      </c>
    </row>
    <row r="3" spans="1:168" ht="89.25" customHeight="1" x14ac:dyDescent="0.25">
      <c r="A3" s="400"/>
      <c r="AE3" s="420"/>
      <c r="AF3" s="397"/>
      <c r="AL3" s="253"/>
      <c r="AM3" s="253"/>
      <c r="AN3" s="253"/>
      <c r="AT3" s="253"/>
      <c r="AU3" s="253"/>
      <c r="AV3" s="253"/>
      <c r="AW3" s="253"/>
      <c r="AZ3" s="372" t="s">
        <v>134</v>
      </c>
      <c r="BA3" s="1" t="s">
        <v>154</v>
      </c>
      <c r="BB3" s="372" t="s">
        <v>295</v>
      </c>
      <c r="BC3" s="232" t="s">
        <v>191</v>
      </c>
      <c r="BD3" s="122" t="str">
        <f>DW3</f>
        <v>Alcohol wash of 1/2 cup of young bees</v>
      </c>
      <c r="BE3" s="158" t="s">
        <v>142</v>
      </c>
      <c r="BF3" s="372" t="s">
        <v>140</v>
      </c>
      <c r="BG3" s="503" t="s">
        <v>152</v>
      </c>
      <c r="BH3" s="503"/>
      <c r="BI3" s="503"/>
      <c r="BJ3" s="503"/>
      <c r="BK3" s="503"/>
      <c r="BL3" s="503"/>
      <c r="BM3" s="504" t="s">
        <v>227</v>
      </c>
      <c r="BN3" s="504"/>
      <c r="BO3" s="364" t="s">
        <v>0</v>
      </c>
      <c r="BP3" s="63" t="s">
        <v>92</v>
      </c>
      <c r="BQ3" s="24" t="s">
        <v>7</v>
      </c>
      <c r="BR3" s="373" t="s">
        <v>93</v>
      </c>
      <c r="BS3" s="25" t="s">
        <v>9</v>
      </c>
      <c r="BT3" s="368" t="s">
        <v>8</v>
      </c>
      <c r="BU3" s="368" t="s">
        <v>91</v>
      </c>
      <c r="BV3" s="368" t="s">
        <v>145</v>
      </c>
      <c r="BW3" s="368" t="s">
        <v>10</v>
      </c>
      <c r="BX3" s="142" t="s">
        <v>143</v>
      </c>
      <c r="BY3" s="140" t="s">
        <v>98</v>
      </c>
      <c r="BZ3" s="368" t="s">
        <v>95</v>
      </c>
      <c r="CA3" s="129" t="s">
        <v>94</v>
      </c>
      <c r="CB3" s="368" t="s">
        <v>99</v>
      </c>
      <c r="CC3" s="26" t="s">
        <v>97</v>
      </c>
      <c r="CD3" s="171" t="s">
        <v>297</v>
      </c>
      <c r="CE3" s="303" t="s">
        <v>298</v>
      </c>
      <c r="CF3" s="69" t="s">
        <v>300</v>
      </c>
      <c r="CG3" s="69" t="s">
        <v>301</v>
      </c>
      <c r="CH3" s="69" t="s">
        <v>100</v>
      </c>
      <c r="CI3" s="69" t="s">
        <v>115</v>
      </c>
      <c r="CJ3" s="69" t="s">
        <v>136</v>
      </c>
      <c r="CK3" s="69" t="s">
        <v>139</v>
      </c>
      <c r="CL3" s="69" t="s">
        <v>103</v>
      </c>
      <c r="CM3" s="69" t="s">
        <v>135</v>
      </c>
      <c r="CN3" s="69" t="s">
        <v>120</v>
      </c>
      <c r="CO3" s="69" t="s">
        <v>119</v>
      </c>
      <c r="CP3" s="360" t="s">
        <v>122</v>
      </c>
      <c r="CQ3" s="70" t="s">
        <v>96</v>
      </c>
      <c r="CR3" s="360" t="s">
        <v>101</v>
      </c>
      <c r="CS3" s="360" t="s">
        <v>116</v>
      </c>
      <c r="CT3" s="361" t="s">
        <v>137</v>
      </c>
      <c r="CU3" s="361" t="s">
        <v>138</v>
      </c>
      <c r="CV3" s="360" t="s">
        <v>102</v>
      </c>
      <c r="CW3" s="360" t="s">
        <v>104</v>
      </c>
      <c r="CX3" s="360" t="s">
        <v>135</v>
      </c>
      <c r="CY3" s="360" t="s">
        <v>120</v>
      </c>
      <c r="CZ3" s="360" t="s">
        <v>121</v>
      </c>
      <c r="DA3" s="362" t="s">
        <v>213</v>
      </c>
      <c r="DB3" s="132" t="s">
        <v>220</v>
      </c>
      <c r="DC3" s="132" t="s">
        <v>212</v>
      </c>
      <c r="DD3" s="132"/>
      <c r="DE3" s="56" t="s">
        <v>199</v>
      </c>
      <c r="DF3" s="132" t="s">
        <v>215</v>
      </c>
      <c r="DG3" s="132" t="s">
        <v>209</v>
      </c>
      <c r="DH3" s="147" t="s">
        <v>201</v>
      </c>
      <c r="DI3" s="132" t="s">
        <v>218</v>
      </c>
      <c r="DJ3" s="134" t="s">
        <v>219</v>
      </c>
      <c r="DK3" s="134" t="s">
        <v>211</v>
      </c>
      <c r="DL3" s="247" t="s">
        <v>113</v>
      </c>
      <c r="DM3" s="136" t="s">
        <v>133</v>
      </c>
      <c r="DN3" s="97" t="s">
        <v>224</v>
      </c>
      <c r="DO3" s="132" t="s">
        <v>223</v>
      </c>
      <c r="DP3" s="96" t="s">
        <v>344</v>
      </c>
      <c r="DQ3" s="134" t="s">
        <v>127</v>
      </c>
      <c r="DR3" s="56" t="s">
        <v>222</v>
      </c>
      <c r="DS3" s="368" t="s">
        <v>294</v>
      </c>
      <c r="DT3" s="364" t="s">
        <v>0</v>
      </c>
      <c r="DU3" s="368" t="s">
        <v>11</v>
      </c>
      <c r="DV3" s="26" t="s">
        <v>12</v>
      </c>
      <c r="DW3" s="62" t="s">
        <v>114</v>
      </c>
      <c r="DX3" s="350" t="s">
        <v>302</v>
      </c>
      <c r="DY3" s="350" t="s">
        <v>303</v>
      </c>
      <c r="DZ3" s="350" t="s">
        <v>350</v>
      </c>
      <c r="EA3" s="350" t="s">
        <v>296</v>
      </c>
      <c r="EB3" s="368" t="s">
        <v>125</v>
      </c>
      <c r="EC3" s="368" t="s">
        <v>126</v>
      </c>
      <c r="ED3" s="26" t="s">
        <v>205</v>
      </c>
      <c r="EE3" s="26" t="s">
        <v>325</v>
      </c>
      <c r="EF3" s="26" t="s">
        <v>155</v>
      </c>
      <c r="EG3" s="261" t="s">
        <v>206</v>
      </c>
      <c r="EI3" s="368" t="s">
        <v>176</v>
      </c>
      <c r="EJ3" s="167" t="s">
        <v>177</v>
      </c>
      <c r="EK3" s="368" t="s">
        <v>178</v>
      </c>
      <c r="EO3" s="511" t="s">
        <v>217</v>
      </c>
      <c r="EP3" s="511"/>
      <c r="ER3" s="248" t="s">
        <v>159</v>
      </c>
      <c r="ES3" s="368" t="s">
        <v>89</v>
      </c>
    </row>
    <row r="4" spans="1:168" ht="13" x14ac:dyDescent="0.3">
      <c r="A4" s="54"/>
      <c r="B4" s="404"/>
      <c r="AZ4" s="406">
        <f>IF($AB$20="x", EP4,EO4)</f>
        <v>40544</v>
      </c>
      <c r="BA4" s="59">
        <f t="shared" ref="BA4:BA27" si="0">IF(EA4&gt;0,"",DE4)</f>
        <v>100</v>
      </c>
      <c r="BB4" s="301">
        <f>IF(EA4&gt;0,"",DS4)</f>
        <v>-5.0125418235442759E-3</v>
      </c>
      <c r="BC4" s="233">
        <f t="shared" ref="BC4:BC28" si="1">IF(EA4&gt;0,"",DL4)</f>
        <v>0</v>
      </c>
      <c r="BD4" s="123">
        <f>IF(EA4&gt;0,"",DW4)</f>
        <v>1.96875</v>
      </c>
      <c r="BE4" s="4" t="str">
        <f t="shared" ref="BE4:BE28" si="2">IF(EA4&gt;0,"",IF(BS4&lt;5,"n/a",CT4))</f>
        <v>n/a</v>
      </c>
      <c r="BF4" s="3">
        <f t="shared" ref="BF4:BF28" si="3">IF(EA4&gt;0,"",BZ4)</f>
        <v>1</v>
      </c>
      <c r="BG4" s="126"/>
      <c r="BH4" s="512"/>
      <c r="BI4" s="512"/>
      <c r="BJ4" s="512"/>
      <c r="BK4" s="126"/>
      <c r="BL4" s="126"/>
      <c r="BM4" s="126"/>
      <c r="BN4" s="511" t="s">
        <v>90</v>
      </c>
      <c r="BO4" s="271">
        <f>AZ4</f>
        <v>40544</v>
      </c>
      <c r="BP4" s="376">
        <f>IF($AZ$31="d",'Colony Type'!H31,IF($AZ$31="n",'Colony Type'!H59,IF($AZ$31="p",'Colony Type'!H87,IF($AZ$31="a",'Colony Type'!H115,IF($AZ$31="b",'Colony Type'!H143,IF($AZ$31="c",'Colony Type'!H171,IF($AZ$31="r",'Colony Type'!H199,IF($AZ$31="s",'Colony Type'!H227,IF($AZ$31="f",'Colony Type'!H255,"error")))))))))</f>
        <v>8</v>
      </c>
      <c r="BQ4">
        <f t="shared" ref="BQ4:BQ27" si="4">BP4*$BP$44</f>
        <v>16000</v>
      </c>
      <c r="BR4" s="81">
        <f>IF($AZ$31="d",'Colony Type'!F31,IF($AZ$31="n",'Colony Type'!F59,IF($AZ$31="p",'Colony Type'!F87,IF($AZ$31="a",'Colony Type'!F115,IF($AZ$31="b",'Colony Type'!F143,IF($AZ$31="c",'Colony Type'!F171,IF($AZ$31="r",'Colony Type'!F199,IF($AZ$31="s",'Colony Type'!F227,IF($AZ$31="f",'Colony Type'!F255,"error")))))))))</f>
        <v>0</v>
      </c>
      <c r="BS4" s="17">
        <f t="shared" ref="BS4:BS27" si="5">IF(BR4=0,1,$BP$43*BR4)</f>
        <v>1</v>
      </c>
      <c r="BT4" s="21">
        <f t="shared" ref="BT4:BT27" si="6">IF(BQ4=0,0,BS4/BQ4)</f>
        <v>6.2500000000000001E-5</v>
      </c>
      <c r="BU4">
        <f>BS4*12/20</f>
        <v>0.6</v>
      </c>
      <c r="BV4" s="18">
        <f>CT4*BU4</f>
        <v>0</v>
      </c>
      <c r="BW4" s="18">
        <f t="shared" ref="BW4:BW27" si="7">BS4/20</f>
        <v>0.05</v>
      </c>
      <c r="BX4" s="141">
        <f>IF(BT4=0,0.001,(-$BP$42*LN(BT4))+$BP$41)</f>
        <v>53.401720006109592</v>
      </c>
      <c r="BY4" s="27">
        <f t="shared" ref="BY4:BY27" si="8">BX4+12</f>
        <v>65.401720006109599</v>
      </c>
      <c r="BZ4" s="32">
        <f t="shared" ref="BZ4:BZ27" si="9">IF(BR4=0,1,BX4/BY4)</f>
        <v>1</v>
      </c>
      <c r="CA4" s="130">
        <f t="shared" ref="CA4:CA27" si="10">1-BZ4</f>
        <v>0</v>
      </c>
      <c r="CB4" s="28">
        <f t="shared" ref="CB4:CB28" si="11">DE4*CA4</f>
        <v>0</v>
      </c>
      <c r="CC4" s="255">
        <f t="shared" ref="CC4:CC27" si="12">0.6*BS4</f>
        <v>0.6</v>
      </c>
      <c r="CD4" s="80">
        <f>IF($AZ$31="d",'Colony Type'!J31,IF($AZ$31="n",'Colony Type'!J59,IF($AZ$31="p",'Colony Type'!J87,IF($AZ$31="a",'Colony Type'!J115,IF($AZ$31="b",'Colony Type'!J143,IF($AZ$31="c",'Colony Type'!J171,IF($AZ$31="r",'Colony Type'!J199,IF($AZ$31="s",'Colony Type'!J199,IF($AZ$31="f",'Colony Type'!J255,"error")))))))))</f>
        <v>0</v>
      </c>
      <c r="CE4" s="106">
        <f>CD4*16/25</f>
        <v>0</v>
      </c>
      <c r="CF4" s="75">
        <f>CE4*$BP$42</f>
        <v>0</v>
      </c>
      <c r="CG4" s="102">
        <f>CF4*CA4</f>
        <v>0</v>
      </c>
      <c r="CH4" s="72">
        <f t="shared" ref="CH4:CH27" si="13">CF4*CB4</f>
        <v>0</v>
      </c>
      <c r="CI4" s="73">
        <f>IF(CE4=0,0,CH4/(CC4*CE4))</f>
        <v>0</v>
      </c>
      <c r="CJ4" s="356">
        <f t="shared" ref="CJ4:CJ28" si="14">1-(POISSON(0,CI4,FALSE))</f>
        <v>0</v>
      </c>
      <c r="CK4" s="357">
        <f>IF(CJ4=0,0,CI4/CJ4)</f>
        <v>0</v>
      </c>
      <c r="CL4" s="73">
        <f t="shared" ref="CL4:CL27" si="15">BX4+15</f>
        <v>68.401720006109599</v>
      </c>
      <c r="CM4" s="355">
        <v>1</v>
      </c>
      <c r="CN4" s="84">
        <f t="shared" ref="CN4:CN27" si="16">(1+($BP$31*CM4))*$BP$46</f>
        <v>4.2749999999999995</v>
      </c>
      <c r="CO4" s="78">
        <f>LN(CN4)/14.75</f>
        <v>9.8493837450082944E-2</v>
      </c>
      <c r="CP4" s="103">
        <f>1-BZ4-CG4</f>
        <v>0</v>
      </c>
      <c r="CQ4" s="71">
        <f>(1-CE4)*CC4</f>
        <v>0.6</v>
      </c>
      <c r="CR4" s="71">
        <f t="shared" ref="CR4:CR27" si="17">CB4-CH4</f>
        <v>0</v>
      </c>
      <c r="CS4" s="74">
        <f t="shared" ref="CS4:CS27" si="18">CR4/CQ4</f>
        <v>0</v>
      </c>
      <c r="CT4" s="353">
        <f t="shared" ref="CT4:CT28" si="19">1-(POISSON(0,CS4,FALSE))</f>
        <v>0</v>
      </c>
      <c r="CU4" s="355">
        <f>CS4/(CT4+0.000001)</f>
        <v>0</v>
      </c>
      <c r="CV4" s="76">
        <f t="shared" ref="CV4:CV28" si="20">1-CF4</f>
        <v>1</v>
      </c>
      <c r="CW4" s="74">
        <f t="shared" ref="CW4:CW28" si="21">BX4+12</f>
        <v>65.401720006109599</v>
      </c>
      <c r="CX4" s="354">
        <v>1</v>
      </c>
      <c r="CY4" s="83">
        <f>(1+($BP$29*CX4))*$BP$46</f>
        <v>2.2586249999999999</v>
      </c>
      <c r="CZ4" s="79">
        <f t="shared" ref="CZ4:CZ28" si="22">IF(DE4&gt;2*CQ4,0,LN(CY4)/12.5)</f>
        <v>0</v>
      </c>
      <c r="DA4" s="112">
        <f t="shared" ref="DA4:DA28" si="23">(CG4*CO4+CP4*CZ4)</f>
        <v>0</v>
      </c>
      <c r="DB4" s="55">
        <f t="shared" ref="DB4:DB28" si="24">IF(BT4&gt;0.25,$BV$38,$BV$37)</f>
        <v>-5.0125418235442863E-3</v>
      </c>
      <c r="DC4" s="133">
        <f t="shared" ref="DC4:DC27" si="25">DA4+DB4</f>
        <v>-5.0125418235442863E-3</v>
      </c>
      <c r="DD4" s="146"/>
      <c r="DE4" s="105">
        <f>IF(OR($AZ$31="n",$AZ$31="p"),0,AZ32)</f>
        <v>100</v>
      </c>
      <c r="DF4" s="240">
        <f t="shared" ref="DF4:DF28" si="26">DE4*$BP$30</f>
        <v>70</v>
      </c>
      <c r="DG4" s="239">
        <f>DF4</f>
        <v>70</v>
      </c>
      <c r="DH4" s="148">
        <f>DG4*EXP(DA4*$BP$36)-DG4</f>
        <v>0</v>
      </c>
      <c r="DI4" s="17">
        <f>DE4+DH4</f>
        <v>100</v>
      </c>
      <c r="DJ4" s="266">
        <f>DI4-DK4</f>
        <v>7.3399166893701562</v>
      </c>
      <c r="DK4" s="135">
        <f t="shared" ref="DK4:DK28" si="27">DI4*EXP((IF(BT4&gt;0.25,$BV$38,$BV$37)*$BP$36))</f>
        <v>92.660083310629844</v>
      </c>
      <c r="DL4" s="244">
        <f>'Mite Immigration'!C12</f>
        <v>0</v>
      </c>
      <c r="DM4" s="137"/>
      <c r="DN4" s="238"/>
      <c r="DO4" s="265">
        <f t="shared" ref="DO4:DO28" si="28">DK4+DN4</f>
        <v>92.660083310629844</v>
      </c>
      <c r="DP4" s="393">
        <f>EJ$32</f>
        <v>0</v>
      </c>
      <c r="DQ4" s="135">
        <f>DO4*DP4</f>
        <v>0</v>
      </c>
      <c r="DR4" s="95">
        <f t="shared" ref="DR4:DR28" si="29">DO4-DQ4</f>
        <v>92.660083310629844</v>
      </c>
      <c r="DS4" s="29">
        <f t="shared" ref="DS4:DS28" si="30">LN(DR4/DE4)/$BP$36</f>
        <v>-5.0125418235442759E-3</v>
      </c>
      <c r="DT4" s="271">
        <f t="shared" ref="DT4:DT28" si="31">AZ4</f>
        <v>40544</v>
      </c>
      <c r="DU4" s="89">
        <f t="shared" ref="DU4:DU28" si="32">DE4*BZ4</f>
        <v>100</v>
      </c>
      <c r="DV4" s="29">
        <f t="shared" ref="DV4:DV28" si="33">IF(BQ4=0,0.001,DU4/BQ4)</f>
        <v>6.2500000000000003E-3</v>
      </c>
      <c r="DW4" s="145">
        <f t="shared" ref="DW4:DW27" si="34">DV4*315</f>
        <v>1.96875</v>
      </c>
      <c r="DX4" s="90"/>
      <c r="DY4" s="90"/>
      <c r="DZ4" s="90"/>
      <c r="EA4" s="90"/>
      <c r="EB4" s="90"/>
      <c r="EC4" s="90"/>
      <c r="ED4" s="12"/>
      <c r="EE4" s="12"/>
      <c r="EF4" s="237"/>
      <c r="EG4" s="262"/>
      <c r="EI4" s="351">
        <f>DE4</f>
        <v>100</v>
      </c>
      <c r="EJ4" s="163">
        <v>0</v>
      </c>
      <c r="EK4" s="352">
        <v>0.5</v>
      </c>
      <c r="EO4" s="2">
        <v>40544</v>
      </c>
      <c r="EP4" s="259">
        <v>42917</v>
      </c>
      <c r="EQ4" s="18"/>
      <c r="ER4" s="249"/>
      <c r="ET4" s="18"/>
      <c r="EU4" s="18"/>
      <c r="EV4" s="18"/>
      <c r="EW4" s="18"/>
      <c r="EX4" s="18"/>
      <c r="EY4" s="18"/>
      <c r="EZ4" s="18"/>
      <c r="FA4" s="18"/>
      <c r="FB4" s="18"/>
      <c r="FC4" s="18"/>
      <c r="FD4" s="18"/>
      <c r="FE4" s="18"/>
      <c r="FF4" s="18"/>
      <c r="FG4" s="18"/>
      <c r="FH4" s="18"/>
      <c r="FI4" s="18"/>
    </row>
    <row r="5" spans="1:168" ht="12.75" customHeight="1" x14ac:dyDescent="0.3">
      <c r="A5" s="54"/>
      <c r="B5" s="401"/>
      <c r="AE5" s="383"/>
      <c r="AF5" s="398"/>
      <c r="AZ5" s="406">
        <f t="shared" ref="AZ5:AZ28" si="35">IF($AB$20="x", EP5,EO5)</f>
        <v>40558</v>
      </c>
      <c r="BA5" s="59">
        <f t="shared" si="0"/>
        <v>92.660083310629844</v>
      </c>
      <c r="BB5" s="301">
        <f t="shared" ref="BB5:BB27" si="36">IF(EA5&gt;0,"",DS5)</f>
        <v>5.2233269783675549E-3</v>
      </c>
      <c r="BC5" s="233">
        <f t="shared" si="1"/>
        <v>0</v>
      </c>
      <c r="BD5" s="123">
        <f t="shared" ref="BD5:BD27" si="37">IF(EA5&gt;0,"",DW5)</f>
        <v>1.1011521708318264</v>
      </c>
      <c r="BE5" s="4">
        <f t="shared" si="2"/>
        <v>5.295877873559407E-2</v>
      </c>
      <c r="BF5" s="3">
        <f t="shared" si="3"/>
        <v>0.60362064049089725</v>
      </c>
      <c r="BG5" s="497">
        <v>0.95</v>
      </c>
      <c r="BH5" s="513" t="s">
        <v>309</v>
      </c>
      <c r="BI5" s="514"/>
      <c r="BJ5" s="514"/>
      <c r="BK5" s="514"/>
      <c r="BL5" s="515"/>
      <c r="BN5" s="511"/>
      <c r="BO5" s="271">
        <f t="shared" ref="BO5:BO28" si="38">AZ5</f>
        <v>40558</v>
      </c>
      <c r="BP5" s="376">
        <f>IF($AZ$31="d",'Colony Type'!H32,IF($AZ$31="n",'Colony Type'!H60,IF($AZ$31="p",'Colony Type'!H88,IF($AZ$31="a",'Colony Type'!H116,IF($AZ$31="b",'Colony Type'!H144,IF($AZ$31="c",'Colony Type'!H172,IF($AZ$31="r",'Colony Type'!H200,IF($AZ$31="s",'Colony Type'!H228,IF($AZ$31="f",'Colony Type'!H256,"error")))))))))</f>
        <v>8</v>
      </c>
      <c r="BQ5">
        <f t="shared" si="4"/>
        <v>16000</v>
      </c>
      <c r="BR5" s="81">
        <f>IF($AZ$31="d",'Colony Type'!F32,IF($AZ$31="n",'Colony Type'!F60,IF($AZ$31="p",'Colony Type'!F88,IF($AZ$31="a",'Colony Type'!F116,IF($AZ$31="b",'Colony Type'!F144,IF($AZ$31="c",'Colony Type'!F172,IF($AZ$31="r",'Colony Type'!F200,IF($AZ$31="s",'Colony Type'!F228,IF($AZ$31="f",'Colony Type'!F256,"error")))))))))</f>
        <v>0.25</v>
      </c>
      <c r="BS5" s="17">
        <f t="shared" si="5"/>
        <v>1125</v>
      </c>
      <c r="BT5" s="21">
        <f t="shared" si="6"/>
        <v>7.03125E-2</v>
      </c>
      <c r="BU5">
        <f t="shared" ref="BU5:BU27" si="39">BS5*12/20</f>
        <v>675</v>
      </c>
      <c r="BV5" s="18">
        <f t="shared" ref="BV5:BV27" si="40">CT5*BU5</f>
        <v>35.747175646525996</v>
      </c>
      <c r="BW5" s="18">
        <f t="shared" si="7"/>
        <v>56.25</v>
      </c>
      <c r="BX5" s="141">
        <f t="shared" ref="BX5:BX27" si="41">IF(BT5=0,0.001,(-$BP$42*LN(BT5))+$BP$41)</f>
        <v>18.274028432916989</v>
      </c>
      <c r="BY5" s="27">
        <f t="shared" si="8"/>
        <v>30.274028432916989</v>
      </c>
      <c r="BZ5" s="32">
        <f t="shared" si="9"/>
        <v>0.60362064049089725</v>
      </c>
      <c r="CA5" s="130">
        <f t="shared" si="10"/>
        <v>0.39637935950910275</v>
      </c>
      <c r="CB5" s="28">
        <f t="shared" si="11"/>
        <v>36.728544474727556</v>
      </c>
      <c r="CC5" s="255">
        <f t="shared" si="12"/>
        <v>675</v>
      </c>
      <c r="CD5" s="80">
        <f>IF($AZ$31="d",'Colony Type'!J32,IF($AZ$31="n",'Colony Type'!J60,IF($AZ$31="p",'Colony Type'!J88,IF($AZ$31="a",'Colony Type'!J116,IF($AZ$31="b",'Colony Type'!J144,IF($AZ$31="c",'Colony Type'!J172,IF($AZ$31="r",'Colony Type'!J200,IF($AZ$31="s",'Colony Type'!J200,IF($AZ$31="f",'Colony Type'!J256,"error")))))))))</f>
        <v>0</v>
      </c>
      <c r="CE5" s="106">
        <f t="shared" ref="CE5:CE28" si="42">CD5*16/25</f>
        <v>0</v>
      </c>
      <c r="CF5" s="75">
        <f t="shared" ref="CF5:CF28" si="43">CE5*$BP$42</f>
        <v>0</v>
      </c>
      <c r="CG5" s="102">
        <f t="shared" ref="CG5:CG27" si="44">CF5*CA5</f>
        <v>0</v>
      </c>
      <c r="CH5" s="72">
        <f t="shared" si="13"/>
        <v>0</v>
      </c>
      <c r="CI5" s="73">
        <f t="shared" ref="CI5:CI27" si="45">IF(CE5=0,0,CH5/(CC5*CE5))</f>
        <v>0</v>
      </c>
      <c r="CJ5" s="356">
        <f t="shared" si="14"/>
        <v>0</v>
      </c>
      <c r="CK5" s="357">
        <f t="shared" ref="CK5:CK27" si="46">IF(CJ5=0,0,CI5/CJ5)</f>
        <v>0</v>
      </c>
      <c r="CL5" s="73">
        <f t="shared" si="15"/>
        <v>33.274028432916992</v>
      </c>
      <c r="CM5" s="355">
        <v>1</v>
      </c>
      <c r="CN5" s="84">
        <f t="shared" si="16"/>
        <v>4.2749999999999995</v>
      </c>
      <c r="CO5" s="78">
        <f t="shared" ref="CO5:CO27" si="47">LN(CN5)/14.75</f>
        <v>9.8493837450082944E-2</v>
      </c>
      <c r="CP5" s="103">
        <f t="shared" ref="CP5:CP27" si="48">1-BZ5-CG5</f>
        <v>0.39637935950910275</v>
      </c>
      <c r="CQ5" s="71">
        <f t="shared" ref="CQ5:CQ27" si="49">(1-CE5)*CC5</f>
        <v>675</v>
      </c>
      <c r="CR5" s="71">
        <f>CB5-CH5</f>
        <v>36.728544474727556</v>
      </c>
      <c r="CS5" s="74">
        <f t="shared" si="18"/>
        <v>5.4412658481077861E-2</v>
      </c>
      <c r="CT5" s="353">
        <f t="shared" si="19"/>
        <v>5.295877873559407E-2</v>
      </c>
      <c r="CU5" s="355">
        <f t="shared" ref="CU5:CU28" si="50">CS5/(CT5+0.000001)</f>
        <v>1.0274336445538681</v>
      </c>
      <c r="CV5" s="76">
        <f t="shared" si="20"/>
        <v>1</v>
      </c>
      <c r="CW5" s="74">
        <f t="shared" si="21"/>
        <v>30.274028432916989</v>
      </c>
      <c r="CX5" s="354">
        <v>1</v>
      </c>
      <c r="CY5" s="83">
        <f t="shared" ref="CY5:CY28" si="51">(1+($BP$29*CX5))*$BP$46</f>
        <v>2.2586249999999999</v>
      </c>
      <c r="CZ5" s="79">
        <f t="shared" si="22"/>
        <v>6.518049768398862E-2</v>
      </c>
      <c r="DA5" s="112">
        <f t="shared" si="23"/>
        <v>2.5836203924463966E-2</v>
      </c>
      <c r="DB5" s="55">
        <f t="shared" si="24"/>
        <v>-5.0125418235442863E-3</v>
      </c>
      <c r="DC5" s="133">
        <f t="shared" si="25"/>
        <v>2.0823662100919679E-2</v>
      </c>
      <c r="DD5" s="133"/>
      <c r="DE5" s="378">
        <f>IF(OR($AZ$31="n",$AZ$31="p"),0,DR4)</f>
        <v>92.660083310629844</v>
      </c>
      <c r="DF5" s="240">
        <f t="shared" si="26"/>
        <v>64.862058317440884</v>
      </c>
      <c r="DG5" s="240">
        <f>DF5*(1-EK4)</f>
        <v>32.431029158720442</v>
      </c>
      <c r="DH5" s="148">
        <f t="shared" ref="DH5:DH14" si="52">DG5*EXP(DA5*$BP$36)-DG5</f>
        <v>15.609319551891964</v>
      </c>
      <c r="DI5" s="17">
        <f t="shared" ref="DI5:DI27" si="53">DE5+DH5</f>
        <v>108.26940286252182</v>
      </c>
      <c r="DJ5" s="266">
        <f t="shared" ref="DJ5:DJ27" si="54">DI5-DK5</f>
        <v>7.9468839701876561</v>
      </c>
      <c r="DK5" s="135">
        <f t="shared" si="27"/>
        <v>100.32251889233416</v>
      </c>
      <c r="DL5" s="244">
        <f>'Mite Immigration'!C13</f>
        <v>0</v>
      </c>
      <c r="DM5" s="137">
        <f t="shared" ref="DM5:DM27" si="55">IF(EG5&gt;DU5*EF5,-DU5*EF5,-EG5)</f>
        <v>-1.4354305084057733E-3</v>
      </c>
      <c r="DN5" s="98">
        <f>DL5+DM5</f>
        <v>-1.4354305084057733E-3</v>
      </c>
      <c r="DO5" s="265">
        <f t="shared" si="28"/>
        <v>100.32108346182575</v>
      </c>
      <c r="DP5" s="393">
        <f>EK$32</f>
        <v>0</v>
      </c>
      <c r="DQ5" s="135">
        <f t="shared" ref="DQ5:DQ27" si="56">DO5*DP5</f>
        <v>0</v>
      </c>
      <c r="DR5" s="95">
        <f t="shared" si="29"/>
        <v>100.32108346182575</v>
      </c>
      <c r="DS5" s="29">
        <f t="shared" si="30"/>
        <v>5.2233269783675549E-3</v>
      </c>
      <c r="DT5" s="271">
        <f t="shared" si="31"/>
        <v>40558</v>
      </c>
      <c r="DU5" s="89">
        <f t="shared" si="32"/>
        <v>55.931538835902288</v>
      </c>
      <c r="DV5" s="29">
        <f t="shared" si="33"/>
        <v>3.495721177243893E-3</v>
      </c>
      <c r="DW5" s="145">
        <f t="shared" si="34"/>
        <v>1.1011521708318264</v>
      </c>
      <c r="DX5" s="90"/>
      <c r="DY5" s="90"/>
      <c r="DZ5" s="90"/>
      <c r="EA5" s="90"/>
      <c r="EB5" s="17">
        <f t="shared" ref="EB5:EB28" si="57">BS4*0.9/20*$BP$36</f>
        <v>0.68437499999999996</v>
      </c>
      <c r="EC5" s="18">
        <f t="shared" ref="EC5:EC28" si="58">BQ5-BQ4</f>
        <v>0</v>
      </c>
      <c r="ED5" s="264">
        <f t="shared" ref="ED5:ED27" si="59">EB5-EC5</f>
        <v>0.68437499999999996</v>
      </c>
      <c r="EE5" s="264">
        <f>ED5/$BP$36</f>
        <v>4.4999999999999998E-2</v>
      </c>
      <c r="EF5" s="104">
        <f t="shared" ref="EF5:EF27" si="60">IF(DV5&gt;0.15,1,$BP$35)</f>
        <v>0.6</v>
      </c>
      <c r="EG5" s="263">
        <f t="shared" ref="EG5:EG27" si="61">ED5*EF5*DV5</f>
        <v>1.4354305084057733E-3</v>
      </c>
      <c r="EI5" s="17">
        <f t="shared" ref="EI5:EI28" si="62">DH5</f>
        <v>15.609319551891964</v>
      </c>
      <c r="EJ5" s="163">
        <v>0</v>
      </c>
      <c r="EK5" s="37">
        <f>EJ$59</f>
        <v>0</v>
      </c>
      <c r="EO5" s="2">
        <v>40558</v>
      </c>
      <c r="EP5" s="259">
        <v>42931</v>
      </c>
      <c r="EQ5" s="18"/>
      <c r="ER5" s="249"/>
      <c r="ES5">
        <v>5.67</v>
      </c>
      <c r="ET5" s="18"/>
      <c r="EU5" s="18"/>
      <c r="EV5" s="18"/>
      <c r="EW5" s="18"/>
      <c r="EX5" s="18"/>
      <c r="EY5" s="18"/>
      <c r="EZ5" s="18"/>
      <c r="FA5" s="18"/>
      <c r="FB5" s="18"/>
      <c r="FC5" s="18"/>
      <c r="FD5" s="18"/>
      <c r="FE5" s="18"/>
      <c r="FF5" s="18"/>
      <c r="FG5" s="18"/>
      <c r="FH5" s="18"/>
      <c r="FI5" s="18"/>
      <c r="FJ5" s="18"/>
      <c r="FK5" s="18"/>
      <c r="FL5" s="18"/>
    </row>
    <row r="6" spans="1:168" ht="13" customHeight="1" x14ac:dyDescent="0.3">
      <c r="A6" s="54"/>
      <c r="B6" s="401"/>
      <c r="AE6" s="383"/>
      <c r="AF6" s="398"/>
      <c r="AZ6" s="406">
        <f t="shared" si="35"/>
        <v>40575</v>
      </c>
      <c r="BA6" s="59">
        <f t="shared" si="0"/>
        <v>100.32108346182575</v>
      </c>
      <c r="BB6" s="301">
        <f t="shared" si="36"/>
        <v>1.4156209170941484E-2</v>
      </c>
      <c r="BC6" s="233">
        <f t="shared" si="1"/>
        <v>0</v>
      </c>
      <c r="BD6" s="123">
        <f t="shared" si="37"/>
        <v>1.1545713362615053</v>
      </c>
      <c r="BE6" s="4">
        <f t="shared" si="2"/>
        <v>4.569754999750375E-2</v>
      </c>
      <c r="BF6" s="3">
        <f t="shared" si="3"/>
        <v>0.58457196879000284</v>
      </c>
      <c r="BG6" s="498"/>
      <c r="BH6" s="516"/>
      <c r="BI6" s="517"/>
      <c r="BJ6" s="517"/>
      <c r="BK6" s="517"/>
      <c r="BL6" s="518"/>
      <c r="BN6" s="511"/>
      <c r="BO6" s="271">
        <f t="shared" si="38"/>
        <v>40575</v>
      </c>
      <c r="BP6" s="376">
        <f>IF($AZ$31="d",'Colony Type'!H33,IF($AZ$31="n",'Colony Type'!H61,IF($AZ$31="p",'Colony Type'!H89,IF($AZ$31="a",'Colony Type'!H117,IF($AZ$31="b",'Colony Type'!H145,IF($AZ$31="c",'Colony Type'!H173,IF($AZ$31="r",'Colony Type'!H201,IF($AZ$31="s",'Colony Type'!H229,IF($AZ$31="f",'Colony Type'!H257,"error")))))))))</f>
        <v>8</v>
      </c>
      <c r="BQ6">
        <f t="shared" si="4"/>
        <v>16000</v>
      </c>
      <c r="BR6" s="81">
        <f>IF($AZ$31="d",'Colony Type'!F33,IF($AZ$31="n",'Colony Type'!F61,IF($AZ$31="p",'Colony Type'!F89,IF($AZ$31="a",'Colony Type'!F117,IF($AZ$31="b",'Colony Type'!F145,IF($AZ$31="c",'Colony Type'!F173,IF($AZ$31="r",'Colony Type'!F201,IF($AZ$31="s",'Colony Type'!F229,IF($AZ$31="f",'Colony Type'!F257,"error")))))))))</f>
        <v>0.33</v>
      </c>
      <c r="BS6" s="17">
        <f t="shared" si="5"/>
        <v>1485</v>
      </c>
      <c r="BT6" s="21">
        <f t="shared" si="6"/>
        <v>9.2812500000000006E-2</v>
      </c>
      <c r="BU6">
        <f t="shared" si="39"/>
        <v>891</v>
      </c>
      <c r="BV6" s="18">
        <f t="shared" si="40"/>
        <v>40.716517047775838</v>
      </c>
      <c r="BW6" s="18">
        <f t="shared" si="7"/>
        <v>74.25</v>
      </c>
      <c r="BX6" s="141">
        <f t="shared" si="41"/>
        <v>16.88586974992559</v>
      </c>
      <c r="BY6" s="27">
        <f t="shared" si="8"/>
        <v>28.88586974992559</v>
      </c>
      <c r="BZ6" s="32">
        <f t="shared" si="9"/>
        <v>0.58457196879000284</v>
      </c>
      <c r="CA6" s="130">
        <f t="shared" si="10"/>
        <v>0.41542803120999716</v>
      </c>
      <c r="CB6" s="28">
        <f t="shared" si="11"/>
        <v>41.676190191400082</v>
      </c>
      <c r="CC6" s="255">
        <f t="shared" si="12"/>
        <v>891</v>
      </c>
      <c r="CD6" s="80">
        <f>IF($AZ$31="d",'Colony Type'!J33,IF($AZ$31="n",'Colony Type'!J61,IF($AZ$31="p",'Colony Type'!J89,IF($AZ$31="a",'Colony Type'!J117,IF($AZ$31="b",'Colony Type'!J145,IF($AZ$31="c",'Colony Type'!J173,IF($AZ$31="r",'Colony Type'!J201,IF($AZ$31="s",'Colony Type'!J201,IF($AZ$31="f",'Colony Type'!J257,"error")))))))))</f>
        <v>0</v>
      </c>
      <c r="CE6" s="106">
        <f t="shared" si="42"/>
        <v>0</v>
      </c>
      <c r="CF6" s="75">
        <f t="shared" si="43"/>
        <v>0</v>
      </c>
      <c r="CG6" s="102">
        <f t="shared" si="44"/>
        <v>0</v>
      </c>
      <c r="CH6" s="72">
        <f t="shared" si="13"/>
        <v>0</v>
      </c>
      <c r="CI6" s="73">
        <f t="shared" si="45"/>
        <v>0</v>
      </c>
      <c r="CJ6" s="356">
        <f t="shared" si="14"/>
        <v>0</v>
      </c>
      <c r="CK6" s="357">
        <f t="shared" si="46"/>
        <v>0</v>
      </c>
      <c r="CL6" s="73">
        <f t="shared" si="15"/>
        <v>31.88586974992559</v>
      </c>
      <c r="CM6" s="355">
        <v>1</v>
      </c>
      <c r="CN6" s="84">
        <f t="shared" si="16"/>
        <v>4.2749999999999995</v>
      </c>
      <c r="CO6" s="78">
        <f t="shared" si="47"/>
        <v>9.8493837450082944E-2</v>
      </c>
      <c r="CP6" s="103">
        <f t="shared" si="48"/>
        <v>0.41542803120999716</v>
      </c>
      <c r="CQ6" s="71">
        <f t="shared" si="49"/>
        <v>891</v>
      </c>
      <c r="CR6" s="71">
        <f t="shared" si="17"/>
        <v>41.676190191400082</v>
      </c>
      <c r="CS6" s="74">
        <f t="shared" si="18"/>
        <v>4.6774624232772261E-2</v>
      </c>
      <c r="CT6" s="353">
        <f t="shared" si="19"/>
        <v>4.569754999750375E-2</v>
      </c>
      <c r="CU6" s="355">
        <f t="shared" si="50"/>
        <v>1.0235472292956185</v>
      </c>
      <c r="CV6" s="76">
        <f t="shared" si="20"/>
        <v>1</v>
      </c>
      <c r="CW6" s="74">
        <f t="shared" si="21"/>
        <v>28.88586974992559</v>
      </c>
      <c r="CX6" s="354">
        <v>1</v>
      </c>
      <c r="CY6" s="83">
        <f t="shared" si="51"/>
        <v>2.2586249999999999</v>
      </c>
      <c r="CZ6" s="79">
        <f t="shared" si="22"/>
        <v>6.518049768398862E-2</v>
      </c>
      <c r="DA6" s="112">
        <f t="shared" si="23"/>
        <v>2.7077805826147171E-2</v>
      </c>
      <c r="DB6" s="55">
        <f t="shared" si="24"/>
        <v>-5.0125418235442863E-3</v>
      </c>
      <c r="DC6" s="133">
        <f t="shared" si="25"/>
        <v>2.2065264002602884E-2</v>
      </c>
      <c r="DD6" s="133"/>
      <c r="DE6" s="378">
        <f>IF(OR($AZ$31="n",$AZ$31="p"),0,DR5)</f>
        <v>100.32108346182575</v>
      </c>
      <c r="DF6" s="240">
        <f t="shared" si="26"/>
        <v>70.224758423278018</v>
      </c>
      <c r="DG6" s="240">
        <f>DF6*(1-EK5)</f>
        <v>70.224758423278018</v>
      </c>
      <c r="DH6" s="148">
        <f t="shared" si="52"/>
        <v>35.782676229362181</v>
      </c>
      <c r="DI6" s="17">
        <f t="shared" si="53"/>
        <v>136.10375969118792</v>
      </c>
      <c r="DJ6" s="266">
        <f t="shared" si="54"/>
        <v>9.9899025724337633</v>
      </c>
      <c r="DK6" s="135">
        <f t="shared" si="27"/>
        <v>126.11385711875415</v>
      </c>
      <c r="DL6" s="244">
        <f>'Mite Immigration'!C14</f>
        <v>0</v>
      </c>
      <c r="DM6" s="137">
        <f t="shared" si="55"/>
        <v>-1.693199481972788</v>
      </c>
      <c r="DN6" s="98">
        <f t="shared" ref="DN6:DN28" si="63">DL6+DM6</f>
        <v>-1.693199481972788</v>
      </c>
      <c r="DO6" s="265">
        <f t="shared" si="28"/>
        <v>124.42065763678137</v>
      </c>
      <c r="DP6" s="393">
        <f>EL$32</f>
        <v>0</v>
      </c>
      <c r="DQ6" s="135">
        <f t="shared" si="56"/>
        <v>0</v>
      </c>
      <c r="DR6" s="95">
        <f t="shared" si="29"/>
        <v>124.42065763678137</v>
      </c>
      <c r="DS6" s="29">
        <f t="shared" si="30"/>
        <v>1.4156209170941484E-2</v>
      </c>
      <c r="DT6" s="271">
        <f t="shared" si="31"/>
        <v>40575</v>
      </c>
      <c r="DU6" s="89">
        <f t="shared" si="32"/>
        <v>58.644893270425669</v>
      </c>
      <c r="DV6" s="29">
        <f t="shared" si="33"/>
        <v>3.6653058294016045E-3</v>
      </c>
      <c r="DW6" s="145">
        <f t="shared" si="34"/>
        <v>1.1545713362615053</v>
      </c>
      <c r="DX6" t="str">
        <f t="shared" ref="DX6:DX28" si="64">IF(DX5=100,100,IF(CT4&gt;$BP$37,100,""))</f>
        <v/>
      </c>
      <c r="DY6" t="str">
        <f t="shared" ref="DY6:DY28" si="65">IF(DY5=100,100,IF(BS6&lt;100,IF(DV6&gt;$BP$38,100,""),""))</f>
        <v/>
      </c>
      <c r="EA6">
        <f>SUM(DX6:DZ6)</f>
        <v>0</v>
      </c>
      <c r="EB6" s="17">
        <f t="shared" si="57"/>
        <v>769.921875</v>
      </c>
      <c r="EC6" s="18">
        <f t="shared" si="58"/>
        <v>0</v>
      </c>
      <c r="ED6" s="264">
        <f t="shared" si="59"/>
        <v>769.921875</v>
      </c>
      <c r="EE6" s="264">
        <f t="shared" ref="EE6:EE28" si="66">ED6/$BP$36</f>
        <v>50.625</v>
      </c>
      <c r="EF6" s="104">
        <f t="shared" si="60"/>
        <v>0.6</v>
      </c>
      <c r="EG6" s="263">
        <f t="shared" si="61"/>
        <v>1.693199481972788</v>
      </c>
      <c r="EI6" s="17">
        <f t="shared" si="62"/>
        <v>35.782676229362181</v>
      </c>
      <c r="EJ6" s="163">
        <v>0</v>
      </c>
      <c r="EK6" s="37">
        <f>EK$59</f>
        <v>0</v>
      </c>
      <c r="EO6" s="2">
        <v>40575</v>
      </c>
      <c r="EP6" s="259">
        <v>42948</v>
      </c>
      <c r="EQ6" s="18"/>
      <c r="ER6" s="249"/>
      <c r="ET6" s="18"/>
      <c r="EU6" s="18"/>
      <c r="EV6" s="18"/>
      <c r="EW6" s="18"/>
      <c r="EX6" s="18"/>
      <c r="EY6" s="18"/>
      <c r="EZ6" s="18"/>
      <c r="FA6" s="18"/>
      <c r="FB6" s="18"/>
      <c r="FC6" s="18"/>
      <c r="FD6" s="18"/>
      <c r="FE6" s="18"/>
      <c r="FF6" s="18"/>
      <c r="FG6" s="18"/>
      <c r="FH6" s="18"/>
      <c r="FI6" s="18"/>
      <c r="FJ6" s="18"/>
      <c r="FK6" s="18"/>
      <c r="FL6" s="18"/>
    </row>
    <row r="7" spans="1:168" ht="12.75" customHeight="1" x14ac:dyDescent="0.3">
      <c r="A7" s="54"/>
      <c r="B7" s="401"/>
      <c r="AE7" s="383"/>
      <c r="AF7" s="398"/>
      <c r="AZ7" s="406">
        <f t="shared" si="35"/>
        <v>40589</v>
      </c>
      <c r="BA7" s="59">
        <f t="shared" si="0"/>
        <v>124.42065763678137</v>
      </c>
      <c r="BB7" s="301">
        <f t="shared" si="36"/>
        <v>1.5990546388849801E-2</v>
      </c>
      <c r="BC7" s="233">
        <f t="shared" si="1"/>
        <v>0</v>
      </c>
      <c r="BD7" s="123">
        <f>IF(EA7&gt;0,"",DW7)</f>
        <v>1.4063098328231911</v>
      </c>
      <c r="BE7" s="4">
        <f t="shared" si="2"/>
        <v>3.0114047688159062E-2</v>
      </c>
      <c r="BF7" s="3">
        <f t="shared" si="3"/>
        <v>0.50234953281672068</v>
      </c>
      <c r="BG7" s="497">
        <v>0.9</v>
      </c>
      <c r="BH7" s="496" t="s">
        <v>1</v>
      </c>
      <c r="BI7" s="496"/>
      <c r="BJ7" s="496"/>
      <c r="BK7" s="496"/>
      <c r="BL7" s="496"/>
      <c r="BN7" s="511"/>
      <c r="BO7" s="271">
        <f t="shared" si="38"/>
        <v>40589</v>
      </c>
      <c r="BP7" s="376">
        <f>IF($AZ$31="d",'Colony Type'!H34,IF($AZ$31="n",'Colony Type'!H62,IF($AZ$31="p",'Colony Type'!H90,IF($AZ$31="a",'Colony Type'!H118,IF($AZ$31="b",'Colony Type'!H146,IF($AZ$31="c",'Colony Type'!H174,IF($AZ$31="r",'Colony Type'!H202,IF($AZ$31="s",'Colony Type'!H230,IF($AZ$31="f",'Colony Type'!H258,"error")))))))))</f>
        <v>7</v>
      </c>
      <c r="BQ7">
        <f t="shared" si="4"/>
        <v>14000</v>
      </c>
      <c r="BR7" s="81">
        <f>IF($AZ$31="d",'Colony Type'!F34,IF($AZ$31="n",'Colony Type'!F62,IF($AZ$31="p",'Colony Type'!F90,IF($AZ$31="a",'Colony Type'!F118,IF($AZ$31="b",'Colony Type'!F146,IF($AZ$31="c",'Colony Type'!F174,IF($AZ$31="r",'Colony Type'!F202,IF($AZ$31="s",'Colony Type'!F230,IF($AZ$31="f",'Colony Type'!F258,"error")))))))))</f>
        <v>0.75</v>
      </c>
      <c r="BS7" s="17">
        <f t="shared" si="5"/>
        <v>3375</v>
      </c>
      <c r="BT7" s="21">
        <f t="shared" si="6"/>
        <v>0.24107142857142858</v>
      </c>
      <c r="BU7">
        <f t="shared" si="39"/>
        <v>2025</v>
      </c>
      <c r="BV7" s="18">
        <f t="shared" si="40"/>
        <v>60.9809465685221</v>
      </c>
      <c r="BW7" s="18">
        <f t="shared" si="7"/>
        <v>168.75</v>
      </c>
      <c r="BX7" s="141">
        <f t="shared" si="41"/>
        <v>12.113310026453828</v>
      </c>
      <c r="BY7" s="27">
        <f t="shared" si="8"/>
        <v>24.113310026453828</v>
      </c>
      <c r="BZ7" s="32">
        <f t="shared" si="9"/>
        <v>0.50234953281672068</v>
      </c>
      <c r="CA7" s="130">
        <f t="shared" si="10"/>
        <v>0.49765046718327932</v>
      </c>
      <c r="CB7" s="28">
        <f t="shared" si="11"/>
        <v>61.917998400195103</v>
      </c>
      <c r="CC7" s="255">
        <f t="shared" si="12"/>
        <v>2025</v>
      </c>
      <c r="CD7" s="80">
        <f>IF($AZ$31="d",'Colony Type'!J34,IF($AZ$31="n",'Colony Type'!J62,IF($AZ$31="p",'Colony Type'!J90,IF($AZ$31="a",'Colony Type'!J118,IF($AZ$31="b",'Colony Type'!J146,IF($AZ$31="c",'Colony Type'!J174,IF($AZ$31="r",'Colony Type'!J202,IF($AZ$31="s",'Colony Type'!J202,IF($AZ$31="f",'Colony Type'!J258,"error")))))))))</f>
        <v>0</v>
      </c>
      <c r="CE7" s="106">
        <f t="shared" si="42"/>
        <v>0</v>
      </c>
      <c r="CF7" s="75">
        <f t="shared" si="43"/>
        <v>0</v>
      </c>
      <c r="CG7" s="102">
        <f t="shared" si="44"/>
        <v>0</v>
      </c>
      <c r="CH7" s="72">
        <f t="shared" si="13"/>
        <v>0</v>
      </c>
      <c r="CI7" s="73">
        <f t="shared" si="45"/>
        <v>0</v>
      </c>
      <c r="CJ7" s="356">
        <f t="shared" si="14"/>
        <v>0</v>
      </c>
      <c r="CK7" s="357">
        <f t="shared" si="46"/>
        <v>0</v>
      </c>
      <c r="CL7" s="73">
        <f t="shared" si="15"/>
        <v>27.113310026453828</v>
      </c>
      <c r="CM7" s="355">
        <v>1</v>
      </c>
      <c r="CN7" s="84">
        <f t="shared" si="16"/>
        <v>4.2749999999999995</v>
      </c>
      <c r="CO7" s="78">
        <f t="shared" si="47"/>
        <v>9.8493837450082944E-2</v>
      </c>
      <c r="CP7" s="103">
        <f t="shared" si="48"/>
        <v>0.49765046718327932</v>
      </c>
      <c r="CQ7" s="71">
        <f t="shared" si="49"/>
        <v>2025</v>
      </c>
      <c r="CR7" s="71">
        <f t="shared" si="17"/>
        <v>61.917998400195103</v>
      </c>
      <c r="CS7" s="74">
        <f t="shared" si="18"/>
        <v>3.057678933342968E-2</v>
      </c>
      <c r="CT7" s="353">
        <f t="shared" si="19"/>
        <v>3.0114047688159062E-2</v>
      </c>
      <c r="CU7" s="355">
        <f t="shared" si="50"/>
        <v>1.0153325888788869</v>
      </c>
      <c r="CV7" s="76">
        <f t="shared" si="20"/>
        <v>1</v>
      </c>
      <c r="CW7" s="74">
        <f t="shared" si="21"/>
        <v>24.113310026453828</v>
      </c>
      <c r="CX7" s="354">
        <v>1</v>
      </c>
      <c r="CY7" s="83">
        <f t="shared" si="51"/>
        <v>2.2586249999999999</v>
      </c>
      <c r="CZ7" s="79">
        <f t="shared" si="22"/>
        <v>6.518049768398862E-2</v>
      </c>
      <c r="DA7" s="112">
        <f t="shared" si="23"/>
        <v>3.2437105123675591E-2</v>
      </c>
      <c r="DB7" s="55">
        <f t="shared" si="24"/>
        <v>-5.0125418235442863E-3</v>
      </c>
      <c r="DC7" s="133">
        <f t="shared" si="25"/>
        <v>2.7424563300131304E-2</v>
      </c>
      <c r="DD7" s="133"/>
      <c r="DE7" s="378">
        <f>IF(OR($AZ$31="n",$AZ$31="p"),0,DR6)</f>
        <v>124.42065763678137</v>
      </c>
      <c r="DF7" s="240">
        <f t="shared" si="26"/>
        <v>87.094460345746953</v>
      </c>
      <c r="DG7" s="240">
        <f>DF7*(1-EK6)</f>
        <v>87.094460345746953</v>
      </c>
      <c r="DH7" s="148">
        <f t="shared" si="52"/>
        <v>55.543202415448647</v>
      </c>
      <c r="DI7" s="17">
        <f t="shared" si="53"/>
        <v>179.96386005223002</v>
      </c>
      <c r="DJ7" s="266">
        <f t="shared" si="54"/>
        <v>13.209197398808385</v>
      </c>
      <c r="DK7" s="135">
        <f t="shared" si="27"/>
        <v>166.75466265342163</v>
      </c>
      <c r="DL7" s="244">
        <f>'Mite Immigration'!C15</f>
        <v>0</v>
      </c>
      <c r="DM7" s="137">
        <f t="shared" si="55"/>
        <v>-8.0797103886216455</v>
      </c>
      <c r="DN7" s="98">
        <f t="shared" si="63"/>
        <v>-8.0797103886216455</v>
      </c>
      <c r="DO7" s="265">
        <f t="shared" si="28"/>
        <v>158.6749522648</v>
      </c>
      <c r="DP7" s="393">
        <f>EM$32</f>
        <v>0</v>
      </c>
      <c r="DQ7" s="135">
        <f t="shared" si="56"/>
        <v>0</v>
      </c>
      <c r="DR7" s="95">
        <f t="shared" si="29"/>
        <v>158.6749522648</v>
      </c>
      <c r="DS7" s="29">
        <f t="shared" si="30"/>
        <v>1.5990546388849801E-2</v>
      </c>
      <c r="DT7" s="271">
        <f t="shared" si="31"/>
        <v>40589</v>
      </c>
      <c r="DU7" s="89">
        <f t="shared" si="32"/>
        <v>62.502659236586268</v>
      </c>
      <c r="DV7" s="29">
        <f t="shared" si="33"/>
        <v>4.4644756597561619E-3</v>
      </c>
      <c r="DW7" s="145">
        <f t="shared" si="34"/>
        <v>1.4063098328231911</v>
      </c>
      <c r="DX7" t="str">
        <f t="shared" si="64"/>
        <v/>
      </c>
      <c r="DY7" t="str">
        <f t="shared" si="65"/>
        <v/>
      </c>
      <c r="EA7">
        <f t="shared" ref="EA7:EA28" si="67">SUM(DX7:DZ7)</f>
        <v>0</v>
      </c>
      <c r="EB7" s="17">
        <f t="shared" si="57"/>
        <v>1016.2968750000001</v>
      </c>
      <c r="EC7" s="18">
        <f t="shared" si="58"/>
        <v>-2000</v>
      </c>
      <c r="ED7" s="264">
        <f t="shared" si="59"/>
        <v>3016.296875</v>
      </c>
      <c r="EE7" s="264">
        <f t="shared" si="66"/>
        <v>198.3318493150685</v>
      </c>
      <c r="EF7" s="104">
        <f t="shared" si="60"/>
        <v>0.6</v>
      </c>
      <c r="EG7" s="263">
        <f t="shared" si="61"/>
        <v>8.0797103886216455</v>
      </c>
      <c r="EI7" s="17">
        <f t="shared" si="62"/>
        <v>55.543202415448647</v>
      </c>
      <c r="EJ7" s="163">
        <v>0</v>
      </c>
      <c r="EK7" s="37">
        <f>EL$59</f>
        <v>0</v>
      </c>
      <c r="EO7" s="2">
        <v>40589</v>
      </c>
      <c r="EP7" s="259">
        <v>42962</v>
      </c>
      <c r="EQ7" s="18"/>
      <c r="ER7" s="249"/>
      <c r="ES7">
        <v>6.3</v>
      </c>
      <c r="ET7" s="18"/>
      <c r="EU7" s="18"/>
      <c r="EV7" s="18"/>
      <c r="EW7" s="18"/>
      <c r="EX7" s="18"/>
      <c r="EY7" s="18"/>
      <c r="EZ7" s="18"/>
      <c r="FA7" s="18"/>
      <c r="FB7" s="18"/>
      <c r="FC7" s="18"/>
      <c r="FD7" s="18"/>
      <c r="FE7" s="18"/>
      <c r="FF7" s="18"/>
      <c r="FG7" s="18"/>
      <c r="FH7" s="18"/>
      <c r="FI7" s="18"/>
      <c r="FJ7" s="18"/>
      <c r="FK7" s="18"/>
      <c r="FL7" s="18"/>
    </row>
    <row r="8" spans="1:168" ht="13" x14ac:dyDescent="0.3">
      <c r="A8" s="54"/>
      <c r="B8" s="401"/>
      <c r="AE8" s="383"/>
      <c r="AF8" s="398"/>
      <c r="AZ8" s="406">
        <f t="shared" si="35"/>
        <v>40603</v>
      </c>
      <c r="BA8" s="59">
        <f t="shared" si="0"/>
        <v>158.6749522648</v>
      </c>
      <c r="BB8" s="301">
        <f t="shared" si="36"/>
        <v>1.7582441983191453E-2</v>
      </c>
      <c r="BC8" s="233">
        <f t="shared" si="1"/>
        <v>0</v>
      </c>
      <c r="BD8" s="123">
        <f t="shared" si="37"/>
        <v>1.6807740031481844</v>
      </c>
      <c r="BE8" s="4">
        <f t="shared" si="2"/>
        <v>3.0622764625714116E-2</v>
      </c>
      <c r="BF8" s="3">
        <f t="shared" si="3"/>
        <v>0.47078045866951518</v>
      </c>
      <c r="BG8" s="498"/>
      <c r="BH8" s="496"/>
      <c r="BI8" s="496"/>
      <c r="BJ8" s="496"/>
      <c r="BK8" s="496"/>
      <c r="BL8" s="496"/>
      <c r="BN8" s="511"/>
      <c r="BO8" s="271">
        <f t="shared" si="38"/>
        <v>40603</v>
      </c>
      <c r="BP8" s="376">
        <f>IF($AZ$31="d",'Colony Type'!H35,IF($AZ$31="n",'Colony Type'!H63,IF($AZ$31="p",'Colony Type'!H91,IF($AZ$31="a",'Colony Type'!H119,IF($AZ$31="b",'Colony Type'!H147,IF($AZ$31="c",'Colony Type'!H175,IF($AZ$31="r",'Colony Type'!H203,IF($AZ$31="s",'Colony Type'!H231,IF($AZ$31="f",'Colony Type'!H259,"error")))))))))</f>
        <v>7</v>
      </c>
      <c r="BQ8">
        <f t="shared" si="4"/>
        <v>14000</v>
      </c>
      <c r="BR8" s="81">
        <f>IF($AZ$31="d",'Colony Type'!F35,IF($AZ$31="n",'Colony Type'!F63,IF($AZ$31="p",'Colony Type'!F91,IF($AZ$31="a",'Colony Type'!F119,IF($AZ$31="b",'Colony Type'!F147,IF($AZ$31="c",'Colony Type'!F175,IF($AZ$31="r",'Colony Type'!F203,IF($AZ$31="s",'Colony Type'!F231,IF($AZ$31="f",'Colony Type'!F259,"error")))))))))</f>
        <v>1</v>
      </c>
      <c r="BS8" s="17">
        <f t="shared" si="5"/>
        <v>4500</v>
      </c>
      <c r="BT8" s="21">
        <f t="shared" si="6"/>
        <v>0.32142857142857145</v>
      </c>
      <c r="BU8">
        <f t="shared" si="39"/>
        <v>2700</v>
      </c>
      <c r="BV8" s="18">
        <f t="shared" si="40"/>
        <v>82.681464489428109</v>
      </c>
      <c r="BW8" s="18">
        <f t="shared" si="7"/>
        <v>225</v>
      </c>
      <c r="BX8" s="141">
        <f t="shared" si="41"/>
        <v>10.674899664194921</v>
      </c>
      <c r="BY8" s="27">
        <f t="shared" si="8"/>
        <v>22.674899664194921</v>
      </c>
      <c r="BZ8" s="32">
        <f t="shared" si="9"/>
        <v>0.47078045866951518</v>
      </c>
      <c r="CA8" s="130">
        <f t="shared" si="10"/>
        <v>0.52921954133048477</v>
      </c>
      <c r="CB8" s="28">
        <f t="shared" si="11"/>
        <v>83.973885458214014</v>
      </c>
      <c r="CC8" s="255">
        <f t="shared" si="12"/>
        <v>2700</v>
      </c>
      <c r="CD8" s="80">
        <f>IF($AZ$31="d",'Colony Type'!J35,IF($AZ$31="n",'Colony Type'!J63,IF($AZ$31="p",'Colony Type'!J91,IF($AZ$31="a",'Colony Type'!J119,IF($AZ$31="b",'Colony Type'!J147,IF($AZ$31="c",'Colony Type'!J175,IF($AZ$31="r",'Colony Type'!J203,IF($AZ$31="s",'Colony Type'!J203,IF($AZ$31="f",'Colony Type'!J259,"error")))))))))</f>
        <v>0</v>
      </c>
      <c r="CE8" s="106">
        <f t="shared" si="42"/>
        <v>0</v>
      </c>
      <c r="CF8" s="75">
        <f t="shared" si="43"/>
        <v>0</v>
      </c>
      <c r="CG8" s="102">
        <f t="shared" si="44"/>
        <v>0</v>
      </c>
      <c r="CH8" s="72">
        <f t="shared" si="13"/>
        <v>0</v>
      </c>
      <c r="CI8" s="73">
        <f t="shared" si="45"/>
        <v>0</v>
      </c>
      <c r="CJ8" s="356">
        <f t="shared" si="14"/>
        <v>0</v>
      </c>
      <c r="CK8" s="357">
        <f t="shared" si="46"/>
        <v>0</v>
      </c>
      <c r="CL8" s="73">
        <f t="shared" si="15"/>
        <v>25.674899664194921</v>
      </c>
      <c r="CM8" s="355">
        <v>1</v>
      </c>
      <c r="CN8" s="84">
        <f t="shared" si="16"/>
        <v>4.2749999999999995</v>
      </c>
      <c r="CO8" s="78">
        <f t="shared" si="47"/>
        <v>9.8493837450082944E-2</v>
      </c>
      <c r="CP8" s="103">
        <f t="shared" si="48"/>
        <v>0.52921954133048477</v>
      </c>
      <c r="CQ8" s="71">
        <f t="shared" si="49"/>
        <v>2700</v>
      </c>
      <c r="CR8" s="71">
        <f t="shared" si="17"/>
        <v>83.973885458214014</v>
      </c>
      <c r="CS8" s="74">
        <f t="shared" si="18"/>
        <v>3.1101439058597784E-2</v>
      </c>
      <c r="CT8" s="353">
        <f t="shared" si="19"/>
        <v>3.0622764625714116E-2</v>
      </c>
      <c r="CU8" s="355">
        <f t="shared" si="50"/>
        <v>1.0155981617127039</v>
      </c>
      <c r="CV8" s="76">
        <f t="shared" si="20"/>
        <v>1</v>
      </c>
      <c r="CW8" s="74">
        <f t="shared" si="21"/>
        <v>22.674899664194921</v>
      </c>
      <c r="CX8" s="354">
        <v>1</v>
      </c>
      <c r="CY8" s="83">
        <f t="shared" si="51"/>
        <v>2.2586249999999999</v>
      </c>
      <c r="CZ8" s="79">
        <f t="shared" si="22"/>
        <v>6.518049768398862E-2</v>
      </c>
      <c r="DA8" s="112">
        <f t="shared" si="23"/>
        <v>3.4494793088013183E-2</v>
      </c>
      <c r="DB8" s="55">
        <f t="shared" si="24"/>
        <v>-6.0180723255630212E-3</v>
      </c>
      <c r="DC8" s="133">
        <f t="shared" si="25"/>
        <v>2.8476720762450163E-2</v>
      </c>
      <c r="DD8" s="133"/>
      <c r="DE8" s="378">
        <f>IF(OR($AZ$31="n",$AZ$31="p"),0,DR7)</f>
        <v>158.6749522648</v>
      </c>
      <c r="DF8" s="240">
        <f t="shared" si="26"/>
        <v>111.07246658535999</v>
      </c>
      <c r="DG8" s="240">
        <f>DF8*(1-EK7)</f>
        <v>111.07246658535999</v>
      </c>
      <c r="DH8" s="148">
        <f t="shared" si="52"/>
        <v>76.617436997591824</v>
      </c>
      <c r="DI8" s="17">
        <f t="shared" si="53"/>
        <v>235.29238926239182</v>
      </c>
      <c r="DJ8" s="266">
        <f t="shared" si="54"/>
        <v>20.578992520293923</v>
      </c>
      <c r="DK8" s="135">
        <f t="shared" si="27"/>
        <v>214.7133967420979</v>
      </c>
      <c r="DL8" s="244">
        <f>'Mite Immigration'!C16</f>
        <v>0</v>
      </c>
      <c r="DM8" s="137">
        <f t="shared" si="55"/>
        <v>-7.3946552683148914</v>
      </c>
      <c r="DN8" s="98">
        <f t="shared" si="63"/>
        <v>-7.3946552683148914</v>
      </c>
      <c r="DO8" s="265">
        <f t="shared" si="28"/>
        <v>207.31874147378301</v>
      </c>
      <c r="DP8" s="393">
        <f>EN$32</f>
        <v>0</v>
      </c>
      <c r="DQ8" s="135">
        <f t="shared" si="56"/>
        <v>0</v>
      </c>
      <c r="DR8" s="95">
        <f t="shared" si="29"/>
        <v>207.31874147378301</v>
      </c>
      <c r="DS8" s="29">
        <f t="shared" si="30"/>
        <v>1.7582441983191453E-2</v>
      </c>
      <c r="DT8" s="271">
        <f t="shared" si="31"/>
        <v>40603</v>
      </c>
      <c r="DU8" s="89">
        <f t="shared" si="32"/>
        <v>74.70106680658597</v>
      </c>
      <c r="DV8" s="29">
        <f t="shared" si="33"/>
        <v>5.3357904861847123E-3</v>
      </c>
      <c r="DW8" s="145">
        <f t="shared" si="34"/>
        <v>1.6807740031481844</v>
      </c>
      <c r="DX8" t="str">
        <f t="shared" si="64"/>
        <v/>
      </c>
      <c r="DY8" t="str">
        <f t="shared" si="65"/>
        <v/>
      </c>
      <c r="EA8">
        <f t="shared" si="67"/>
        <v>0</v>
      </c>
      <c r="EB8" s="17">
        <f t="shared" si="57"/>
        <v>2309.765625</v>
      </c>
      <c r="EC8" s="18">
        <f t="shared" si="58"/>
        <v>0</v>
      </c>
      <c r="ED8" s="264">
        <f t="shared" si="59"/>
        <v>2309.765625</v>
      </c>
      <c r="EE8" s="264">
        <f t="shared" si="66"/>
        <v>151.875</v>
      </c>
      <c r="EF8" s="104">
        <f t="shared" si="60"/>
        <v>0.6</v>
      </c>
      <c r="EG8" s="263">
        <f t="shared" si="61"/>
        <v>7.3946552683148914</v>
      </c>
      <c r="EI8" s="17">
        <f t="shared" si="62"/>
        <v>76.617436997591824</v>
      </c>
      <c r="EJ8" s="163">
        <v>0</v>
      </c>
      <c r="EK8" s="37">
        <f>EM$59</f>
        <v>0</v>
      </c>
      <c r="EO8" s="2">
        <v>40603</v>
      </c>
      <c r="EP8" s="259">
        <v>42979</v>
      </c>
      <c r="ER8" s="249"/>
    </row>
    <row r="9" spans="1:168" ht="12.75" customHeight="1" x14ac:dyDescent="0.3">
      <c r="A9" s="54"/>
      <c r="B9" s="401"/>
      <c r="AE9" s="383"/>
      <c r="AF9" s="398"/>
      <c r="AZ9" s="406">
        <f t="shared" si="35"/>
        <v>40617</v>
      </c>
      <c r="BA9" s="59">
        <f t="shared" si="0"/>
        <v>207.31874147378301</v>
      </c>
      <c r="BB9" s="301">
        <f t="shared" si="36"/>
        <v>2.2253279019456E-2</v>
      </c>
      <c r="BC9" s="233">
        <f t="shared" si="1"/>
        <v>0</v>
      </c>
      <c r="BD9" s="123">
        <f t="shared" si="37"/>
        <v>1.9003038528389429</v>
      </c>
      <c r="BE9" s="4">
        <f t="shared" si="2"/>
        <v>2.4676761127964575E-2</v>
      </c>
      <c r="BF9" s="3">
        <f t="shared" si="3"/>
        <v>0.34918467675703302</v>
      </c>
      <c r="BG9" s="497">
        <v>0.9</v>
      </c>
      <c r="BH9" s="513" t="s">
        <v>310</v>
      </c>
      <c r="BI9" s="514"/>
      <c r="BJ9" s="514"/>
      <c r="BK9" s="514"/>
      <c r="BL9" s="515"/>
      <c r="BN9" s="511"/>
      <c r="BO9" s="271">
        <f t="shared" si="38"/>
        <v>40617</v>
      </c>
      <c r="BP9" s="376">
        <f>IF($AZ$31="d",'Colony Type'!H36,IF($AZ$31="n",'Colony Type'!H64,IF($AZ$31="p",'Colony Type'!H92,IF($AZ$31="a",'Colony Type'!H120,IF($AZ$31="b",'Colony Type'!H148,IF($AZ$31="c",'Colony Type'!H176,IF($AZ$31="r",'Colony Type'!H204,IF($AZ$31="s",'Colony Type'!H232,IF($AZ$31="f",'Colony Type'!H260,"error")))))))))</f>
        <v>6</v>
      </c>
      <c r="BQ9">
        <f t="shared" si="4"/>
        <v>12000</v>
      </c>
      <c r="BR9" s="81">
        <f>IF($AZ$31="d",'Colony Type'!F36,IF($AZ$31="n",'Colony Type'!F64,IF($AZ$31="p",'Colony Type'!F92,IF($AZ$31="a",'Colony Type'!F120,IF($AZ$31="b",'Colony Type'!F148,IF($AZ$31="c",'Colony Type'!F176,IF($AZ$31="r",'Colony Type'!F204,IF($AZ$31="s",'Colony Type'!F232,IF($AZ$31="f",'Colony Type'!F260,"error")))))))))</f>
        <v>2</v>
      </c>
      <c r="BS9" s="17">
        <f t="shared" si="5"/>
        <v>9000</v>
      </c>
      <c r="BT9" s="21">
        <f t="shared" si="6"/>
        <v>0.75</v>
      </c>
      <c r="BU9">
        <f t="shared" si="39"/>
        <v>5400</v>
      </c>
      <c r="BV9" s="18">
        <f t="shared" si="40"/>
        <v>133.25451009100871</v>
      </c>
      <c r="BW9" s="18">
        <f t="shared" si="7"/>
        <v>450</v>
      </c>
      <c r="BX9" s="141">
        <f t="shared" si="41"/>
        <v>6.4384103622589048</v>
      </c>
      <c r="BY9" s="27">
        <f t="shared" si="8"/>
        <v>18.438410362258907</v>
      </c>
      <c r="BZ9" s="32">
        <f t="shared" si="9"/>
        <v>0.34918467675703302</v>
      </c>
      <c r="CA9" s="130">
        <f t="shared" si="10"/>
        <v>0.65081532324296698</v>
      </c>
      <c r="CB9" s="28">
        <f t="shared" si="11"/>
        <v>134.9262137465852</v>
      </c>
      <c r="CC9" s="255">
        <f t="shared" si="12"/>
        <v>5400</v>
      </c>
      <c r="CD9" s="80">
        <f>IF($AZ$31="d",'Colony Type'!J36,IF($AZ$31="n",'Colony Type'!J64,IF($AZ$31="p",'Colony Type'!J92,IF($AZ$31="a",'Colony Type'!J120,IF($AZ$31="b",'Colony Type'!J148,IF($AZ$31="c",'Colony Type'!J176,IF($AZ$31="r",'Colony Type'!J204,IF($AZ$31="s",'Colony Type'!J204,IF($AZ$31="f",'Colony Type'!J260,"error")))))))))</f>
        <v>0</v>
      </c>
      <c r="CE9" s="106">
        <f t="shared" si="42"/>
        <v>0</v>
      </c>
      <c r="CF9" s="75">
        <f t="shared" si="43"/>
        <v>0</v>
      </c>
      <c r="CG9" s="102">
        <f t="shared" si="44"/>
        <v>0</v>
      </c>
      <c r="CH9" s="72">
        <f t="shared" si="13"/>
        <v>0</v>
      </c>
      <c r="CI9" s="73">
        <f t="shared" si="45"/>
        <v>0</v>
      </c>
      <c r="CJ9" s="356">
        <f t="shared" si="14"/>
        <v>0</v>
      </c>
      <c r="CK9" s="357">
        <f t="shared" si="46"/>
        <v>0</v>
      </c>
      <c r="CL9" s="73">
        <f t="shared" si="15"/>
        <v>21.438410362258907</v>
      </c>
      <c r="CM9" s="355">
        <v>1</v>
      </c>
      <c r="CN9" s="84">
        <f t="shared" si="16"/>
        <v>4.2749999999999995</v>
      </c>
      <c r="CO9" s="78">
        <f t="shared" si="47"/>
        <v>9.8493837450082944E-2</v>
      </c>
      <c r="CP9" s="103">
        <f t="shared" si="48"/>
        <v>0.65081532324296698</v>
      </c>
      <c r="CQ9" s="71">
        <f t="shared" si="49"/>
        <v>5400</v>
      </c>
      <c r="CR9" s="71">
        <f t="shared" si="17"/>
        <v>134.9262137465852</v>
      </c>
      <c r="CS9" s="74">
        <f t="shared" si="18"/>
        <v>2.4986335878997259E-2</v>
      </c>
      <c r="CT9" s="353">
        <f t="shared" si="19"/>
        <v>2.4676761127964575E-2</v>
      </c>
      <c r="CU9" s="355">
        <f t="shared" si="50"/>
        <v>1.0125041631383249</v>
      </c>
      <c r="CV9" s="76">
        <f t="shared" si="20"/>
        <v>1</v>
      </c>
      <c r="CW9" s="74">
        <f t="shared" si="21"/>
        <v>18.438410362258907</v>
      </c>
      <c r="CX9" s="354">
        <v>1</v>
      </c>
      <c r="CY9" s="83">
        <f t="shared" si="51"/>
        <v>2.2586249999999999</v>
      </c>
      <c r="CZ9" s="79">
        <f t="shared" si="22"/>
        <v>6.518049768398862E-2</v>
      </c>
      <c r="DA9" s="112">
        <f t="shared" si="23"/>
        <v>4.2420466669342516E-2</v>
      </c>
      <c r="DB9" s="55">
        <f t="shared" si="24"/>
        <v>-6.0180723255630212E-3</v>
      </c>
      <c r="DC9" s="133">
        <f t="shared" si="25"/>
        <v>3.6402394343779496E-2</v>
      </c>
      <c r="DD9" s="133"/>
      <c r="DE9" s="378">
        <f>IF(OR($AZ$31="n",$AZ$31="p"),0,DR8)</f>
        <v>207.31874147378301</v>
      </c>
      <c r="DF9" s="240">
        <f t="shared" si="26"/>
        <v>145.12311903164809</v>
      </c>
      <c r="DG9" s="240">
        <f>DF9*(1-EK8)</f>
        <v>145.12311903164809</v>
      </c>
      <c r="DH9" s="148">
        <f t="shared" si="52"/>
        <v>131.51966238722233</v>
      </c>
      <c r="DI9" s="17">
        <f t="shared" si="53"/>
        <v>338.8384038610053</v>
      </c>
      <c r="DJ9" s="266">
        <f t="shared" si="54"/>
        <v>29.635267849092713</v>
      </c>
      <c r="DK9" s="135">
        <f t="shared" si="27"/>
        <v>309.20313601191259</v>
      </c>
      <c r="DL9" s="244">
        <f>'Mite Immigration'!C17</f>
        <v>0</v>
      </c>
      <c r="DM9" s="137">
        <f t="shared" si="55"/>
        <v>-18.38657090946251</v>
      </c>
      <c r="DN9" s="98">
        <f t="shared" si="63"/>
        <v>-18.38657090946251</v>
      </c>
      <c r="DO9" s="265">
        <f t="shared" si="28"/>
        <v>290.81656510245006</v>
      </c>
      <c r="DP9" s="393">
        <f>EO$32</f>
        <v>0</v>
      </c>
      <c r="DQ9" s="135">
        <f t="shared" si="56"/>
        <v>0</v>
      </c>
      <c r="DR9" s="95">
        <f t="shared" si="29"/>
        <v>290.81656510245006</v>
      </c>
      <c r="DS9" s="29">
        <f t="shared" si="30"/>
        <v>2.2253279019456E-2</v>
      </c>
      <c r="DT9" s="271">
        <f t="shared" si="31"/>
        <v>40617</v>
      </c>
      <c r="DU9" s="89">
        <f t="shared" si="32"/>
        <v>72.392527727197816</v>
      </c>
      <c r="DV9" s="29">
        <f t="shared" si="33"/>
        <v>6.0327106439331517E-3</v>
      </c>
      <c r="DW9" s="145">
        <f t="shared" si="34"/>
        <v>1.9003038528389429</v>
      </c>
      <c r="DX9" t="str">
        <f t="shared" si="64"/>
        <v/>
      </c>
      <c r="DY9" t="str">
        <f t="shared" si="65"/>
        <v/>
      </c>
      <c r="EA9">
        <f t="shared" si="67"/>
        <v>0</v>
      </c>
      <c r="EB9" s="17">
        <f t="shared" si="57"/>
        <v>3079.6875</v>
      </c>
      <c r="EC9" s="18">
        <f t="shared" si="58"/>
        <v>-2000</v>
      </c>
      <c r="ED9" s="264">
        <f t="shared" si="59"/>
        <v>5079.6875</v>
      </c>
      <c r="EE9" s="264">
        <f t="shared" si="66"/>
        <v>334.00684931506851</v>
      </c>
      <c r="EF9" s="104">
        <f t="shared" si="60"/>
        <v>0.6</v>
      </c>
      <c r="EG9" s="263">
        <f t="shared" si="61"/>
        <v>18.38657090946251</v>
      </c>
      <c r="EI9" s="17">
        <f t="shared" si="62"/>
        <v>131.51966238722233</v>
      </c>
      <c r="EJ9" s="164">
        <f>EO$57</f>
        <v>63.67644803087736</v>
      </c>
      <c r="EK9" s="37">
        <f>EN$59</f>
        <v>0</v>
      </c>
      <c r="EO9" s="2">
        <v>40617</v>
      </c>
      <c r="EP9" s="259">
        <v>42993</v>
      </c>
      <c r="ER9" s="249"/>
      <c r="ES9">
        <v>10.08</v>
      </c>
    </row>
    <row r="10" spans="1:168" ht="13" x14ac:dyDescent="0.3">
      <c r="A10" s="54"/>
      <c r="B10" s="401"/>
      <c r="AE10" s="383"/>
      <c r="AF10" s="398"/>
      <c r="AZ10" s="406">
        <f t="shared" si="35"/>
        <v>40634</v>
      </c>
      <c r="BA10" s="59">
        <f t="shared" si="0"/>
        <v>290.81656510245006</v>
      </c>
      <c r="BB10" s="301">
        <f t="shared" si="36"/>
        <v>2.9130793006311054E-2</v>
      </c>
      <c r="BC10" s="233">
        <f t="shared" si="1"/>
        <v>0</v>
      </c>
      <c r="BD10" s="123">
        <f t="shared" si="37"/>
        <v>2.0519017750375212</v>
      </c>
      <c r="BE10" s="4">
        <f t="shared" si="2"/>
        <v>2.3906845748009053E-2</v>
      </c>
      <c r="BF10" s="3">
        <f t="shared" si="3"/>
        <v>0.26878691260437249</v>
      </c>
      <c r="BG10" s="498"/>
      <c r="BH10" s="516"/>
      <c r="BI10" s="517"/>
      <c r="BJ10" s="517"/>
      <c r="BK10" s="517"/>
      <c r="BL10" s="518"/>
      <c r="BN10" s="511"/>
      <c r="BO10" s="271">
        <f t="shared" si="38"/>
        <v>40634</v>
      </c>
      <c r="BP10" s="376">
        <f>IF($AZ$31="d",'Colony Type'!H37,IF($AZ$31="n",'Colony Type'!H65,IF($AZ$31="p",'Colony Type'!H93,IF($AZ$31="a",'Colony Type'!H121,IF($AZ$31="b",'Colony Type'!H149,IF($AZ$31="c",'Colony Type'!H177,IF($AZ$31="r",'Colony Type'!H205,IF($AZ$31="s",'Colony Type'!H233,IF($AZ$31="f",'Colony Type'!H261,"error")))))))))</f>
        <v>6</v>
      </c>
      <c r="BQ10">
        <f t="shared" si="4"/>
        <v>12000</v>
      </c>
      <c r="BR10" s="81">
        <f>IF($AZ$31="d",'Colony Type'!F37,IF($AZ$31="n",'Colony Type'!F65,IF($AZ$31="p",'Colony Type'!F93,IF($AZ$31="a",'Colony Type'!F121,IF($AZ$31="b",'Colony Type'!F149,IF($AZ$31="c",'Colony Type'!F177,IF($AZ$31="r",'Colony Type'!F205,IF($AZ$31="s",'Colony Type'!F233,IF($AZ$31="f",'Colony Type'!F261,"error")))))))))</f>
        <v>3</v>
      </c>
      <c r="BS10" s="17">
        <f t="shared" si="5"/>
        <v>13500</v>
      </c>
      <c r="BT10" s="21">
        <f t="shared" si="6"/>
        <v>1.125</v>
      </c>
      <c r="BU10">
        <f t="shared" si="39"/>
        <v>8100</v>
      </c>
      <c r="BV10" s="18">
        <f t="shared" si="40"/>
        <v>193.64545055887334</v>
      </c>
      <c r="BW10" s="18">
        <f t="shared" si="7"/>
        <v>675</v>
      </c>
      <c r="BX10" s="141">
        <f t="shared" si="41"/>
        <v>4.4110848217180827</v>
      </c>
      <c r="BY10" s="27">
        <f t="shared" si="8"/>
        <v>16.411084821718084</v>
      </c>
      <c r="BZ10" s="32">
        <f t="shared" si="9"/>
        <v>0.26878691260437249</v>
      </c>
      <c r="CA10" s="130">
        <f t="shared" si="10"/>
        <v>0.73121308739562751</v>
      </c>
      <c r="CB10" s="28">
        <f t="shared" si="11"/>
        <v>212.648878434354</v>
      </c>
      <c r="CC10" s="255">
        <f t="shared" si="12"/>
        <v>8100</v>
      </c>
      <c r="CD10" s="80">
        <f>IF($AZ$31="d",'Colony Type'!J37,IF($AZ$31="n",'Colony Type'!J65,IF($AZ$31="p",'Colony Type'!J93,IF($AZ$31="a",'Colony Type'!J121,IF($AZ$31="b",'Colony Type'!J149,IF($AZ$31="c",'Colony Type'!J177,IF($AZ$31="r",'Colony Type'!J205,IF($AZ$31="s",'Colony Type'!J205,IF($AZ$31="f",'Colony Type'!J261,"error")))))))))</f>
        <v>0.03</v>
      </c>
      <c r="CE10" s="106">
        <f t="shared" si="42"/>
        <v>1.9199999999999998E-2</v>
      </c>
      <c r="CF10" s="75">
        <f t="shared" si="43"/>
        <v>9.5999999999999988E-2</v>
      </c>
      <c r="CG10" s="102">
        <f t="shared" si="44"/>
        <v>7.0196456389980233E-2</v>
      </c>
      <c r="CH10" s="72">
        <f t="shared" si="13"/>
        <v>20.414292329697982</v>
      </c>
      <c r="CI10" s="73">
        <f t="shared" si="45"/>
        <v>0.13126473977429259</v>
      </c>
      <c r="CJ10" s="356">
        <f t="shared" si="14"/>
        <v>0.1230144293064207</v>
      </c>
      <c r="CK10" s="357">
        <f t="shared" si="46"/>
        <v>1.0670678270377609</v>
      </c>
      <c r="CL10" s="73">
        <f t="shared" si="15"/>
        <v>19.411084821718084</v>
      </c>
      <c r="CM10" s="355">
        <v>1</v>
      </c>
      <c r="CN10" s="84">
        <f t="shared" si="16"/>
        <v>4.2749999999999995</v>
      </c>
      <c r="CO10" s="78">
        <f t="shared" si="47"/>
        <v>9.8493837450082944E-2</v>
      </c>
      <c r="CP10" s="103">
        <f t="shared" si="48"/>
        <v>0.66101663100564734</v>
      </c>
      <c r="CQ10" s="71">
        <f t="shared" si="49"/>
        <v>7944.4800000000005</v>
      </c>
      <c r="CR10" s="71">
        <f t="shared" si="17"/>
        <v>192.23458610465602</v>
      </c>
      <c r="CS10" s="74">
        <f t="shared" si="18"/>
        <v>2.4197252193303528E-2</v>
      </c>
      <c r="CT10" s="353">
        <f t="shared" si="19"/>
        <v>2.3906845748009053E-2</v>
      </c>
      <c r="CU10" s="355">
        <f t="shared" si="50"/>
        <v>1.0121050825049167</v>
      </c>
      <c r="CV10" s="76">
        <f t="shared" si="20"/>
        <v>0.90400000000000003</v>
      </c>
      <c r="CW10" s="74">
        <f t="shared" si="21"/>
        <v>16.411084821718084</v>
      </c>
      <c r="CX10" s="354">
        <v>1</v>
      </c>
      <c r="CY10" s="83">
        <f t="shared" si="51"/>
        <v>2.2586249999999999</v>
      </c>
      <c r="CZ10" s="79">
        <f t="shared" si="22"/>
        <v>6.518049768398862E-2</v>
      </c>
      <c r="DA10" s="112">
        <f t="shared" si="23"/>
        <v>4.9999311351588104E-2</v>
      </c>
      <c r="DB10" s="55">
        <f t="shared" si="24"/>
        <v>-6.0180723255630212E-3</v>
      </c>
      <c r="DC10" s="133">
        <f t="shared" si="25"/>
        <v>4.3981239026025083E-2</v>
      </c>
      <c r="DD10" s="133"/>
      <c r="DE10" s="379">
        <f>IF(OR($AZ$31="n",$AZ$31="p"),AZ32,DR9)</f>
        <v>290.81656510245006</v>
      </c>
      <c r="DF10" s="240">
        <f t="shared" si="26"/>
        <v>203.57159557171502</v>
      </c>
      <c r="DG10" s="379">
        <f>IF(OR($AZ$31="n",$AZ$31="p"),(DF10*(1-0.5)),(DF10*(1-EK9)))</f>
        <v>203.57159557171502</v>
      </c>
      <c r="DH10" s="148">
        <f t="shared" si="52"/>
        <v>231.89755521436854</v>
      </c>
      <c r="DI10" s="17">
        <f t="shared" si="53"/>
        <v>522.71412031681859</v>
      </c>
      <c r="DJ10" s="266">
        <f t="shared" si="54"/>
        <v>45.717288204575084</v>
      </c>
      <c r="DK10" s="135">
        <f t="shared" si="27"/>
        <v>476.99683211224351</v>
      </c>
      <c r="DL10" s="244">
        <f>'Mite Immigration'!C18</f>
        <v>0</v>
      </c>
      <c r="DM10" s="137">
        <f t="shared" si="55"/>
        <v>-24.073204753565204</v>
      </c>
      <c r="DN10" s="98">
        <f t="shared" si="63"/>
        <v>-24.073204753565204</v>
      </c>
      <c r="DO10" s="265">
        <f t="shared" si="28"/>
        <v>452.92362735867829</v>
      </c>
      <c r="DP10" s="393">
        <f>EP$32</f>
        <v>0</v>
      </c>
      <c r="DQ10" s="135">
        <f t="shared" si="56"/>
        <v>0</v>
      </c>
      <c r="DR10" s="95">
        <f t="shared" si="29"/>
        <v>452.92362735867829</v>
      </c>
      <c r="DS10" s="29">
        <f t="shared" si="30"/>
        <v>2.9130793006311054E-2</v>
      </c>
      <c r="DT10" s="271">
        <f t="shared" si="31"/>
        <v>40634</v>
      </c>
      <c r="DU10" s="89">
        <f t="shared" si="32"/>
        <v>78.167686668096039</v>
      </c>
      <c r="DV10" s="29">
        <f t="shared" si="33"/>
        <v>6.5139738890080037E-3</v>
      </c>
      <c r="DW10" s="145">
        <f t="shared" si="34"/>
        <v>2.0519017750375212</v>
      </c>
      <c r="DX10" t="str">
        <f t="shared" si="64"/>
        <v/>
      </c>
      <c r="DY10" t="str">
        <f t="shared" si="65"/>
        <v/>
      </c>
      <c r="EA10">
        <f t="shared" si="67"/>
        <v>0</v>
      </c>
      <c r="EB10" s="17">
        <f t="shared" si="57"/>
        <v>6159.375</v>
      </c>
      <c r="EC10" s="18">
        <f t="shared" si="58"/>
        <v>0</v>
      </c>
      <c r="ED10" s="264">
        <f t="shared" si="59"/>
        <v>6159.375</v>
      </c>
      <c r="EE10" s="264">
        <f t="shared" si="66"/>
        <v>405</v>
      </c>
      <c r="EF10" s="104">
        <f t="shared" si="60"/>
        <v>0.6</v>
      </c>
      <c r="EG10" s="263">
        <f t="shared" si="61"/>
        <v>24.073204753565204</v>
      </c>
      <c r="EI10" s="17">
        <f t="shared" si="62"/>
        <v>231.89755521436854</v>
      </c>
      <c r="EJ10" s="164">
        <f>EP$57</f>
        <v>68.11957798678597</v>
      </c>
      <c r="EK10" s="380">
        <f>IF(OR($AZ$31="n",$AZ$31="p"),0.15,EO59)</f>
        <v>0.18206762707589788</v>
      </c>
      <c r="EO10" s="2">
        <v>40634</v>
      </c>
      <c r="EP10" s="259">
        <v>43009</v>
      </c>
      <c r="ER10" s="249"/>
    </row>
    <row r="11" spans="1:168" ht="12.75" customHeight="1" x14ac:dyDescent="0.3">
      <c r="A11" s="54"/>
      <c r="B11" s="401"/>
      <c r="AE11" s="383"/>
      <c r="AF11" s="398"/>
      <c r="AZ11" s="406">
        <f t="shared" si="35"/>
        <v>40648</v>
      </c>
      <c r="BA11" s="59">
        <f t="shared" si="0"/>
        <v>452.92362735867829</v>
      </c>
      <c r="BB11" s="301">
        <f t="shared" si="36"/>
        <v>2.9872335658562781E-2</v>
      </c>
      <c r="BC11" s="233">
        <f t="shared" si="1"/>
        <v>0</v>
      </c>
      <c r="BD11" s="123">
        <f t="shared" si="37"/>
        <v>1.9211418866832297</v>
      </c>
      <c r="BE11" s="4">
        <f t="shared" si="2"/>
        <v>2.1874373688970272E-2</v>
      </c>
      <c r="BF11" s="3">
        <f t="shared" si="3"/>
        <v>0.21544870751458203</v>
      </c>
      <c r="BG11" s="497">
        <v>0.5</v>
      </c>
      <c r="BH11" s="496" t="s">
        <v>311</v>
      </c>
      <c r="BI11" s="496"/>
      <c r="BJ11" s="496"/>
      <c r="BK11" s="496"/>
      <c r="BL11" s="496"/>
      <c r="BN11" s="511"/>
      <c r="BO11" s="271">
        <f t="shared" si="38"/>
        <v>40648</v>
      </c>
      <c r="BP11" s="376">
        <f>IF($AZ$31="d",'Colony Type'!H38,IF($AZ$31="n",'Colony Type'!H66,IF($AZ$31="p",'Colony Type'!H94,IF($AZ$31="a",'Colony Type'!H122,IF($AZ$31="b",'Colony Type'!H150,IF($AZ$31="c",'Colony Type'!H178,IF($AZ$31="r",'Colony Type'!H206,IF($AZ$31="s",'Colony Type'!H234,IF($AZ$31="f",'Colony Type'!H262,"error")))))))))</f>
        <v>8</v>
      </c>
      <c r="BQ11">
        <f t="shared" si="4"/>
        <v>16000</v>
      </c>
      <c r="BR11" s="81">
        <f>IF($AZ$31="d",'Colony Type'!F38,IF($AZ$31="n",'Colony Type'!F66,IF($AZ$31="p",'Colony Type'!F94,IF($AZ$31="a",'Colony Type'!F122,IF($AZ$31="b",'Colony Type'!F150,IF($AZ$31="c",'Colony Type'!F178,IF($AZ$31="r",'Colony Type'!F206,IF($AZ$31="s",'Colony Type'!F234,IF($AZ$31="f",'Colony Type'!F262,"error")))))))))</f>
        <v>5</v>
      </c>
      <c r="BS11" s="17">
        <f t="shared" si="5"/>
        <v>22500</v>
      </c>
      <c r="BT11" s="21">
        <f t="shared" si="6"/>
        <v>1.40625</v>
      </c>
      <c r="BU11">
        <f t="shared" si="39"/>
        <v>13500</v>
      </c>
      <c r="BV11" s="18">
        <f t="shared" si="40"/>
        <v>295.30404480109866</v>
      </c>
      <c r="BW11" s="18">
        <f t="shared" si="7"/>
        <v>1125</v>
      </c>
      <c r="BX11" s="141">
        <f t="shared" si="41"/>
        <v>3.2953670651470341</v>
      </c>
      <c r="BY11" s="27">
        <f t="shared" si="8"/>
        <v>15.295367065147033</v>
      </c>
      <c r="BZ11" s="32">
        <f t="shared" si="9"/>
        <v>0.21544870751458203</v>
      </c>
      <c r="CA11" s="130">
        <f t="shared" si="10"/>
        <v>0.78455129248541799</v>
      </c>
      <c r="CB11" s="28">
        <f t="shared" si="11"/>
        <v>355.34181724143485</v>
      </c>
      <c r="CC11" s="255">
        <f t="shared" si="12"/>
        <v>13500</v>
      </c>
      <c r="CD11" s="80">
        <f>IF($AZ$31="d",'Colony Type'!J38,IF($AZ$31="n",'Colony Type'!J66,IF($AZ$31="p",'Colony Type'!J94,IF($AZ$31="a",'Colony Type'!J122,IF($AZ$31="b",'Colony Type'!J150,IF($AZ$31="c",'Colony Type'!J178,IF($AZ$31="r",'Colony Type'!J206,IF($AZ$31="s",'Colony Type'!J206,IF($AZ$31="f",'Colony Type'!J262,"error")))))))))</f>
        <v>0.06</v>
      </c>
      <c r="CE11" s="106">
        <f t="shared" si="42"/>
        <v>3.8399999999999997E-2</v>
      </c>
      <c r="CF11" s="75">
        <f t="shared" si="43"/>
        <v>0.19199999999999998</v>
      </c>
      <c r="CG11" s="102">
        <f t="shared" si="44"/>
        <v>0.15063384815720024</v>
      </c>
      <c r="CH11" s="72">
        <f t="shared" si="13"/>
        <v>68.225628910355482</v>
      </c>
      <c r="CI11" s="73">
        <f t="shared" si="45"/>
        <v>0.13160808045979067</v>
      </c>
      <c r="CJ11" s="356">
        <f t="shared" si="14"/>
        <v>0.12331548244858104</v>
      </c>
      <c r="CK11" s="357">
        <f t="shared" si="46"/>
        <v>1.067247014296582</v>
      </c>
      <c r="CL11" s="73">
        <f t="shared" si="15"/>
        <v>18.295367065147033</v>
      </c>
      <c r="CM11" s="355">
        <v>1</v>
      </c>
      <c r="CN11" s="84">
        <f t="shared" si="16"/>
        <v>4.2749999999999995</v>
      </c>
      <c r="CO11" s="78">
        <f t="shared" si="47"/>
        <v>9.8493837450082944E-2</v>
      </c>
      <c r="CP11" s="103">
        <f t="shared" si="48"/>
        <v>0.63391744432821773</v>
      </c>
      <c r="CQ11" s="71">
        <f t="shared" si="49"/>
        <v>12981.6</v>
      </c>
      <c r="CR11" s="71">
        <f t="shared" si="17"/>
        <v>287.11618833107934</v>
      </c>
      <c r="CS11" s="74">
        <f t="shared" si="18"/>
        <v>2.2117164935838367E-2</v>
      </c>
      <c r="CT11" s="353">
        <f t="shared" si="19"/>
        <v>2.1874373688970272E-2</v>
      </c>
      <c r="CU11" s="355">
        <f t="shared" si="50"/>
        <v>1.0110531253228376</v>
      </c>
      <c r="CV11" s="76">
        <f t="shared" si="20"/>
        <v>0.80800000000000005</v>
      </c>
      <c r="CW11" s="74">
        <f t="shared" si="21"/>
        <v>15.295367065147033</v>
      </c>
      <c r="CX11" s="354">
        <v>1</v>
      </c>
      <c r="CY11" s="83">
        <f t="shared" si="51"/>
        <v>2.2586249999999999</v>
      </c>
      <c r="CZ11" s="79">
        <f t="shared" si="22"/>
        <v>6.518049768398862E-2</v>
      </c>
      <c r="DA11" s="112">
        <f t="shared" si="23"/>
        <v>5.6155560266751142E-2</v>
      </c>
      <c r="DB11" s="55">
        <f t="shared" si="24"/>
        <v>-6.0180723255630212E-3</v>
      </c>
      <c r="DC11" s="133">
        <f t="shared" si="25"/>
        <v>5.0137487941188122E-2</v>
      </c>
      <c r="DD11" s="133"/>
      <c r="DE11" s="378">
        <f>DR10</f>
        <v>452.92362735867829</v>
      </c>
      <c r="DF11" s="240">
        <f t="shared" si="26"/>
        <v>317.0465391510748</v>
      </c>
      <c r="DG11" s="379">
        <f>IF(OR($AZ$31="n",$AZ$31="p"),(DF11*(1-0.25)),(DF11*(1-EK10)))</f>
        <v>259.32262809521285</v>
      </c>
      <c r="DH11" s="148">
        <f t="shared" si="52"/>
        <v>349.85228121311002</v>
      </c>
      <c r="DI11" s="17">
        <f t="shared" si="53"/>
        <v>802.77590857178825</v>
      </c>
      <c r="DJ11" s="266">
        <f t="shared" si="54"/>
        <v>70.211873277158929</v>
      </c>
      <c r="DK11" s="135">
        <f t="shared" si="27"/>
        <v>732.56403529462932</v>
      </c>
      <c r="DL11" s="244">
        <f>'Mite Immigration'!C19</f>
        <v>0</v>
      </c>
      <c r="DM11" s="137">
        <f t="shared" si="55"/>
        <v>-19.171395077526398</v>
      </c>
      <c r="DN11" s="98">
        <f t="shared" si="63"/>
        <v>-19.171395077526398</v>
      </c>
      <c r="DO11" s="265">
        <f t="shared" si="28"/>
        <v>713.39264021710289</v>
      </c>
      <c r="DP11" s="393">
        <f>EQ$32</f>
        <v>0</v>
      </c>
      <c r="DQ11" s="135">
        <f t="shared" si="56"/>
        <v>0</v>
      </c>
      <c r="DR11" s="95">
        <f t="shared" si="29"/>
        <v>713.39264021710289</v>
      </c>
      <c r="DS11" s="29">
        <f t="shared" si="30"/>
        <v>2.9872335658562781E-2</v>
      </c>
      <c r="DT11" s="271">
        <f t="shared" si="31"/>
        <v>40648</v>
      </c>
      <c r="DU11" s="89">
        <f t="shared" si="32"/>
        <v>97.581810117243421</v>
      </c>
      <c r="DV11" s="29">
        <f t="shared" si="33"/>
        <v>6.0988631323277134E-3</v>
      </c>
      <c r="DW11" s="145">
        <f t="shared" si="34"/>
        <v>1.9211418866832297</v>
      </c>
      <c r="DX11" t="str">
        <f t="shared" si="64"/>
        <v/>
      </c>
      <c r="DY11" t="str">
        <f t="shared" si="65"/>
        <v/>
      </c>
      <c r="EA11">
        <f t="shared" si="67"/>
        <v>0</v>
      </c>
      <c r="EB11" s="17">
        <f t="shared" si="57"/>
        <v>9239.0625</v>
      </c>
      <c r="EC11" s="18">
        <f t="shared" si="58"/>
        <v>4000</v>
      </c>
      <c r="ED11" s="264">
        <f t="shared" si="59"/>
        <v>5239.0625</v>
      </c>
      <c r="EE11" s="264">
        <f t="shared" si="66"/>
        <v>344.48630136986299</v>
      </c>
      <c r="EF11" s="104">
        <f t="shared" si="60"/>
        <v>0.6</v>
      </c>
      <c r="EG11" s="263">
        <f t="shared" si="61"/>
        <v>19.171395077526398</v>
      </c>
      <c r="EI11" s="17">
        <f t="shared" si="62"/>
        <v>349.85228121311002</v>
      </c>
      <c r="EJ11" s="164">
        <f>EQ$57</f>
        <v>85.024869345248149</v>
      </c>
      <c r="EK11" s="37">
        <f>EP$59</f>
        <v>0.12352815941056508</v>
      </c>
      <c r="EO11" s="2">
        <v>40648</v>
      </c>
      <c r="EP11" s="259">
        <v>43023</v>
      </c>
      <c r="ER11" s="249">
        <v>0.62</v>
      </c>
      <c r="ES11">
        <v>7.875</v>
      </c>
    </row>
    <row r="12" spans="1:168" ht="13" x14ac:dyDescent="0.3">
      <c r="A12" s="54"/>
      <c r="B12" s="401"/>
      <c r="AE12" s="383"/>
      <c r="AF12" s="398"/>
      <c r="AZ12" s="406">
        <f t="shared" si="35"/>
        <v>40664</v>
      </c>
      <c r="BA12" s="59">
        <f t="shared" si="0"/>
        <v>713.39264021710289</v>
      </c>
      <c r="BB12" s="301">
        <f t="shared" si="36"/>
        <v>2.9116138155455329E-2</v>
      </c>
      <c r="BC12" s="233">
        <f t="shared" si="1"/>
        <v>0</v>
      </c>
      <c r="BD12" s="123">
        <f t="shared" si="37"/>
        <v>2.5421262399682134</v>
      </c>
      <c r="BE12" s="4">
        <f t="shared" si="2"/>
        <v>2.7410796250069036E-2</v>
      </c>
      <c r="BF12" s="3">
        <f t="shared" si="3"/>
        <v>0.24887462343620659</v>
      </c>
      <c r="BG12" s="498"/>
      <c r="BH12" s="496"/>
      <c r="BI12" s="496"/>
      <c r="BJ12" s="496"/>
      <c r="BK12" s="496"/>
      <c r="BL12" s="496"/>
      <c r="BN12" s="511"/>
      <c r="BO12" s="271">
        <f t="shared" si="38"/>
        <v>40664</v>
      </c>
      <c r="BP12" s="376">
        <f>IF($AZ$31="d",'Colony Type'!H39,IF($AZ$31="n",'Colony Type'!H67,IF($AZ$31="p",'Colony Type'!H95,IF($AZ$31="a",'Colony Type'!H123,IF($AZ$31="b",'Colony Type'!H151,IF($AZ$31="c",'Colony Type'!H179,IF($AZ$31="r",'Colony Type'!H207,IF($AZ$31="s",'Colony Type'!H235,IF($AZ$31="f",'Colony Type'!H263,"error")))))))))</f>
        <v>11</v>
      </c>
      <c r="BQ12">
        <f t="shared" si="4"/>
        <v>22000</v>
      </c>
      <c r="BR12" s="81">
        <f>IF($AZ$31="d",'Colony Type'!F39,IF($AZ$31="n",'Colony Type'!F67,IF($AZ$31="p",'Colony Type'!F95,IF($AZ$31="a",'Colony Type'!F123,IF($AZ$31="b",'Colony Type'!F151,IF($AZ$31="c",'Colony Type'!F179,IF($AZ$31="r",'Colony Type'!F207,IF($AZ$31="s",'Colony Type'!F235,IF($AZ$31="f",'Colony Type'!F263,"error")))))))))</f>
        <v>6</v>
      </c>
      <c r="BS12" s="17">
        <f t="shared" si="5"/>
        <v>27000</v>
      </c>
      <c r="BT12" s="21">
        <f t="shared" si="6"/>
        <v>1.2272727272727273</v>
      </c>
      <c r="BU12">
        <f t="shared" si="39"/>
        <v>16200</v>
      </c>
      <c r="BV12" s="18">
        <f t="shared" si="40"/>
        <v>444.0548992511184</v>
      </c>
      <c r="BW12" s="18">
        <f t="shared" si="7"/>
        <v>1350</v>
      </c>
      <c r="BX12" s="141">
        <f t="shared" si="41"/>
        <v>3.9760279367699338</v>
      </c>
      <c r="BY12" s="27">
        <f t="shared" si="8"/>
        <v>15.976027936769935</v>
      </c>
      <c r="BZ12" s="32">
        <f t="shared" si="9"/>
        <v>0.24887462343620659</v>
      </c>
      <c r="CA12" s="130">
        <f t="shared" si="10"/>
        <v>0.75112537656379341</v>
      </c>
      <c r="CB12" s="28">
        <f t="shared" si="11"/>
        <v>535.84731552091023</v>
      </c>
      <c r="CC12" s="255">
        <f t="shared" si="12"/>
        <v>16200</v>
      </c>
      <c r="CD12" s="80">
        <f>IF($AZ$31="d",'Colony Type'!J39,IF($AZ$31="n",'Colony Type'!J67,IF($AZ$31="p",'Colony Type'!J95,IF($AZ$31="a",'Colony Type'!J123,IF($AZ$31="b",'Colony Type'!J151,IF($AZ$31="c",'Colony Type'!J179,IF($AZ$31="r",'Colony Type'!J207,IF($AZ$31="s",'Colony Type'!J207,IF($AZ$31="f",'Colony Type'!J263,"error")))))))))</f>
        <v>0.06</v>
      </c>
      <c r="CE12" s="106">
        <f t="shared" si="42"/>
        <v>3.8399999999999997E-2</v>
      </c>
      <c r="CF12" s="75">
        <f t="shared" si="43"/>
        <v>0.19199999999999998</v>
      </c>
      <c r="CG12" s="102">
        <f t="shared" si="44"/>
        <v>0.14421607230024833</v>
      </c>
      <c r="CH12" s="72">
        <f t="shared" si="13"/>
        <v>102.88268458001475</v>
      </c>
      <c r="CI12" s="73">
        <f t="shared" si="45"/>
        <v>0.16538497392620685</v>
      </c>
      <c r="CJ12" s="356">
        <f t="shared" si="14"/>
        <v>0.15243265005740403</v>
      </c>
      <c r="CK12" s="357">
        <f t="shared" si="46"/>
        <v>1.0849707976862251</v>
      </c>
      <c r="CL12" s="73">
        <f t="shared" si="15"/>
        <v>18.976027936769935</v>
      </c>
      <c r="CM12" s="355">
        <v>1</v>
      </c>
      <c r="CN12" s="84">
        <f t="shared" si="16"/>
        <v>4.2749999999999995</v>
      </c>
      <c r="CO12" s="78">
        <f t="shared" si="47"/>
        <v>9.8493837450082944E-2</v>
      </c>
      <c r="CP12" s="103">
        <f t="shared" si="48"/>
        <v>0.60690930426354506</v>
      </c>
      <c r="CQ12" s="71">
        <f t="shared" si="49"/>
        <v>15577.92</v>
      </c>
      <c r="CR12" s="71">
        <f t="shared" si="17"/>
        <v>432.96463094089546</v>
      </c>
      <c r="CS12" s="74">
        <f>CR12/CQ12</f>
        <v>2.7793481475119623E-2</v>
      </c>
      <c r="CT12" s="353">
        <f t="shared" si="19"/>
        <v>2.7410796250069036E-2</v>
      </c>
      <c r="CU12" s="355">
        <f t="shared" si="50"/>
        <v>1.0139241230880529</v>
      </c>
      <c r="CV12" s="76">
        <f t="shared" si="20"/>
        <v>0.80800000000000005</v>
      </c>
      <c r="CW12" s="74">
        <f t="shared" si="21"/>
        <v>15.976027936769935</v>
      </c>
      <c r="CX12" s="354">
        <v>1</v>
      </c>
      <c r="CY12" s="83">
        <f t="shared" si="51"/>
        <v>2.2586249999999999</v>
      </c>
      <c r="CZ12" s="79">
        <f t="shared" si="22"/>
        <v>6.518049768398862E-2</v>
      </c>
      <c r="DA12" s="112">
        <f t="shared" si="23"/>
        <v>5.3763044883771212E-2</v>
      </c>
      <c r="DB12" s="55">
        <f t="shared" si="24"/>
        <v>-6.0180723255630212E-3</v>
      </c>
      <c r="DC12" s="133">
        <f t="shared" si="25"/>
        <v>4.7744972558208192E-2</v>
      </c>
      <c r="DD12" s="133"/>
      <c r="DE12" s="378">
        <f t="shared" ref="DE12:DE28" si="68">DR11</f>
        <v>713.39264021710289</v>
      </c>
      <c r="DF12" s="240">
        <f t="shared" si="26"/>
        <v>499.374848151972</v>
      </c>
      <c r="DG12" s="240">
        <f>DF12*(1-EK11)</f>
        <v>437.68799230382848</v>
      </c>
      <c r="DH12" s="148">
        <f t="shared" si="52"/>
        <v>553.74624353002491</v>
      </c>
      <c r="DI12" s="17">
        <f t="shared" si="53"/>
        <v>1267.1388837471277</v>
      </c>
      <c r="DJ12" s="266">
        <f t="shared" si="54"/>
        <v>110.82569093098027</v>
      </c>
      <c r="DK12" s="135">
        <f t="shared" si="27"/>
        <v>1156.3131928161474</v>
      </c>
      <c r="DL12" s="244">
        <f>'Mite Immigration'!C20</f>
        <v>0</v>
      </c>
      <c r="DM12" s="137">
        <f t="shared" si="55"/>
        <v>-45.50859920657382</v>
      </c>
      <c r="DN12" s="98">
        <f t="shared" si="63"/>
        <v>-45.50859920657382</v>
      </c>
      <c r="DO12" s="265">
        <f t="shared" si="28"/>
        <v>1110.8045936095737</v>
      </c>
      <c r="DP12" s="393">
        <f>ER$32</f>
        <v>0</v>
      </c>
      <c r="DQ12" s="135">
        <f t="shared" si="56"/>
        <v>0</v>
      </c>
      <c r="DR12" s="95">
        <f t="shared" si="29"/>
        <v>1110.8045936095737</v>
      </c>
      <c r="DS12" s="29">
        <f t="shared" si="30"/>
        <v>2.9116138155455329E-2</v>
      </c>
      <c r="DT12" s="271">
        <f t="shared" si="31"/>
        <v>40664</v>
      </c>
      <c r="DU12" s="89">
        <f t="shared" si="32"/>
        <v>177.54532469619269</v>
      </c>
      <c r="DV12" s="29">
        <f t="shared" si="33"/>
        <v>8.0702420316451223E-3</v>
      </c>
      <c r="DW12" s="145">
        <f t="shared" si="34"/>
        <v>2.5421262399682134</v>
      </c>
      <c r="DX12" t="str">
        <f t="shared" si="64"/>
        <v/>
      </c>
      <c r="DY12" t="str">
        <f t="shared" si="65"/>
        <v/>
      </c>
      <c r="EA12">
        <f t="shared" si="67"/>
        <v>0</v>
      </c>
      <c r="EB12" s="17">
        <f t="shared" si="57"/>
        <v>15398.4375</v>
      </c>
      <c r="EC12" s="18">
        <f t="shared" si="58"/>
        <v>6000</v>
      </c>
      <c r="ED12" s="264">
        <f t="shared" si="59"/>
        <v>9398.4375</v>
      </c>
      <c r="EE12" s="264">
        <f t="shared" si="66"/>
        <v>617.97945205479448</v>
      </c>
      <c r="EF12" s="104">
        <f t="shared" si="60"/>
        <v>0.6</v>
      </c>
      <c r="EG12" s="263">
        <f t="shared" si="61"/>
        <v>45.50859920657382</v>
      </c>
      <c r="EI12" s="17">
        <f t="shared" si="62"/>
        <v>553.74624353002491</v>
      </c>
      <c r="EJ12" s="164">
        <f>ER$57</f>
        <v>113.0537557335532</v>
      </c>
      <c r="EK12" s="37">
        <f>EQ$59</f>
        <v>9.9595392433972196E-2</v>
      </c>
      <c r="EO12" s="2">
        <v>40664</v>
      </c>
      <c r="EP12" s="259">
        <v>43040</v>
      </c>
      <c r="ER12" s="249">
        <v>0.6</v>
      </c>
    </row>
    <row r="13" spans="1:168" ht="12.75" customHeight="1" x14ac:dyDescent="0.3">
      <c r="A13" s="54"/>
      <c r="B13" s="401"/>
      <c r="AE13" s="383"/>
      <c r="AF13" s="398"/>
      <c r="AZ13" s="406">
        <f t="shared" si="35"/>
        <v>40678</v>
      </c>
      <c r="BA13" s="59">
        <f t="shared" si="0"/>
        <v>1110.8045936095737</v>
      </c>
      <c r="BB13" s="301">
        <f t="shared" si="36"/>
        <v>2.700365626231933E-2</v>
      </c>
      <c r="BC13" s="233">
        <f t="shared" si="1"/>
        <v>0</v>
      </c>
      <c r="BD13" s="123">
        <f t="shared" si="37"/>
        <v>3.4912793048926494</v>
      </c>
      <c r="BE13" s="4">
        <f t="shared" si="2"/>
        <v>3.657810521304028E-2</v>
      </c>
      <c r="BF13" s="3">
        <f t="shared" si="3"/>
        <v>0.29933508814694854</v>
      </c>
      <c r="BG13" s="499" t="s">
        <v>375</v>
      </c>
      <c r="BH13" s="496" t="s">
        <v>312</v>
      </c>
      <c r="BI13" s="496"/>
      <c r="BJ13" s="496"/>
      <c r="BK13" s="496"/>
      <c r="BL13" s="496"/>
      <c r="BN13" s="511"/>
      <c r="BO13" s="271">
        <f t="shared" si="38"/>
        <v>40678</v>
      </c>
      <c r="BP13" s="376">
        <f>IF($AZ$31="d",'Colony Type'!H40,IF($AZ$31="n",'Colony Type'!H68,IF($AZ$31="p",'Colony Type'!H96,IF($AZ$31="a",'Colony Type'!H124,IF($AZ$31="b",'Colony Type'!H152,IF($AZ$31="c",'Colony Type'!H180,IF($AZ$31="r",'Colony Type'!H208,IF($AZ$31="s",'Colony Type'!H236,IF($AZ$31="f",'Colony Type'!H264,"error")))))))))</f>
        <v>15</v>
      </c>
      <c r="BQ13">
        <f t="shared" si="4"/>
        <v>30000</v>
      </c>
      <c r="BR13" s="81">
        <f>IF($AZ$31="d",'Colony Type'!F40,IF($AZ$31="n",'Colony Type'!F68,IF($AZ$31="p",'Colony Type'!F96,IF($AZ$31="a",'Colony Type'!F124,IF($AZ$31="b",'Colony Type'!F152,IF($AZ$31="c",'Colony Type'!F180,IF($AZ$31="r",'Colony Type'!F208,IF($AZ$31="s",'Colony Type'!F236,IF($AZ$31="f",'Colony Type'!F264,"error")))))))))</f>
        <v>6.5</v>
      </c>
      <c r="BS13" s="17">
        <f t="shared" si="5"/>
        <v>29250</v>
      </c>
      <c r="BT13" s="21">
        <f t="shared" si="6"/>
        <v>0.97499999999999998</v>
      </c>
      <c r="BU13">
        <f t="shared" si="39"/>
        <v>17550</v>
      </c>
      <c r="BV13" s="18">
        <f t="shared" si="40"/>
        <v>641.94574648885691</v>
      </c>
      <c r="BW13" s="18">
        <f t="shared" si="7"/>
        <v>1462.5</v>
      </c>
      <c r="BX13" s="141">
        <f t="shared" si="41"/>
        <v>5.1265890399214493</v>
      </c>
      <c r="BY13" s="27">
        <f t="shared" si="8"/>
        <v>17.126589039921448</v>
      </c>
      <c r="BZ13" s="32">
        <f t="shared" si="9"/>
        <v>0.29933508814694854</v>
      </c>
      <c r="CA13" s="130">
        <f t="shared" si="10"/>
        <v>0.70066491185305146</v>
      </c>
      <c r="CB13" s="28">
        <f t="shared" si="11"/>
        <v>778.30180266741661</v>
      </c>
      <c r="CC13" s="255">
        <f t="shared" si="12"/>
        <v>17550</v>
      </c>
      <c r="CD13" s="80">
        <f>IF($AZ$31="d",'Colony Type'!J40,IF($AZ$31="n",'Colony Type'!J68,IF($AZ$31="p",'Colony Type'!J96,IF($AZ$31="a",'Colony Type'!J124,IF($AZ$31="b",'Colony Type'!J152,IF($AZ$31="c",'Colony Type'!J180,IF($AZ$31="r",'Colony Type'!J208,IF($AZ$31="s",'Colony Type'!J208,IF($AZ$31="f",'Colony Type'!J264,"error")))))))))</f>
        <v>0.06</v>
      </c>
      <c r="CE13" s="106">
        <f t="shared" si="42"/>
        <v>3.8399999999999997E-2</v>
      </c>
      <c r="CF13" s="75">
        <f t="shared" si="43"/>
        <v>0.19199999999999998</v>
      </c>
      <c r="CG13" s="102">
        <f t="shared" si="44"/>
        <v>0.13452766307578587</v>
      </c>
      <c r="CH13" s="72">
        <f t="shared" si="13"/>
        <v>149.43394611214396</v>
      </c>
      <c r="CI13" s="73">
        <f t="shared" si="45"/>
        <v>0.22173840531835229</v>
      </c>
      <c r="CJ13" s="356">
        <f t="shared" si="14"/>
        <v>0.19887509305916018</v>
      </c>
      <c r="CK13" s="357">
        <f t="shared" si="46"/>
        <v>1.1149631756672056</v>
      </c>
      <c r="CL13" s="73">
        <f t="shared" si="15"/>
        <v>20.126589039921448</v>
      </c>
      <c r="CM13" s="355">
        <v>1</v>
      </c>
      <c r="CN13" s="84">
        <f t="shared" si="16"/>
        <v>4.2749999999999995</v>
      </c>
      <c r="CO13" s="78">
        <f t="shared" si="47"/>
        <v>9.8493837450082944E-2</v>
      </c>
      <c r="CP13" s="103">
        <f t="shared" si="48"/>
        <v>0.56613724877726557</v>
      </c>
      <c r="CQ13" s="71">
        <f t="shared" si="49"/>
        <v>16876.080000000002</v>
      </c>
      <c r="CR13" s="71">
        <f t="shared" si="17"/>
        <v>628.86785655527262</v>
      </c>
      <c r="CS13" s="74">
        <f t="shared" si="18"/>
        <v>3.7263858464481832E-2</v>
      </c>
      <c r="CT13" s="353">
        <f t="shared" si="19"/>
        <v>3.657810521304028E-2</v>
      </c>
      <c r="CU13" s="355">
        <f t="shared" si="50"/>
        <v>1.0187197922817817</v>
      </c>
      <c r="CV13" s="76">
        <f t="shared" si="20"/>
        <v>0.80800000000000005</v>
      </c>
      <c r="CW13" s="74">
        <f t="shared" si="21"/>
        <v>17.126589039921448</v>
      </c>
      <c r="CX13" s="354">
        <v>1</v>
      </c>
      <c r="CY13" s="83">
        <f t="shared" si="51"/>
        <v>2.2586249999999999</v>
      </c>
      <c r="CZ13" s="79">
        <f t="shared" si="22"/>
        <v>6.518049768398862E-2</v>
      </c>
      <c r="DA13" s="112">
        <f t="shared" si="23"/>
        <v>5.0151253412272223E-2</v>
      </c>
      <c r="DB13" s="55">
        <f t="shared" si="24"/>
        <v>-6.0180723255630212E-3</v>
      </c>
      <c r="DC13" s="133">
        <f t="shared" si="25"/>
        <v>4.4133181086709203E-2</v>
      </c>
      <c r="DD13" s="133"/>
      <c r="DE13" s="378">
        <f t="shared" si="68"/>
        <v>1110.8045936095737</v>
      </c>
      <c r="DF13" s="240">
        <f t="shared" si="26"/>
        <v>777.56321552670147</v>
      </c>
      <c r="DG13" s="240">
        <f t="shared" ref="DG13:DG28" si="69">DF13*(1-EK12)</f>
        <v>700.12150193409832</v>
      </c>
      <c r="DH13" s="148">
        <f t="shared" si="52"/>
        <v>801.00464968467384</v>
      </c>
      <c r="DI13" s="17">
        <f t="shared" si="53"/>
        <v>1911.8092432942476</v>
      </c>
      <c r="DJ13" s="266">
        <f t="shared" si="54"/>
        <v>167.20943776089052</v>
      </c>
      <c r="DK13" s="135">
        <f t="shared" si="27"/>
        <v>1744.5998055333571</v>
      </c>
      <c r="DL13" s="244">
        <f>'Mite Immigration'!C21</f>
        <v>0</v>
      </c>
      <c r="DM13" s="137">
        <f t="shared" si="55"/>
        <v>-69.68011612681579</v>
      </c>
      <c r="DN13" s="98">
        <f t="shared" si="63"/>
        <v>-69.68011612681579</v>
      </c>
      <c r="DO13" s="265">
        <f t="shared" si="28"/>
        <v>1674.9196894065412</v>
      </c>
      <c r="DP13" s="393">
        <f>ES$32</f>
        <v>0</v>
      </c>
      <c r="DQ13" s="135">
        <f t="shared" si="56"/>
        <v>0</v>
      </c>
      <c r="DR13" s="95">
        <f t="shared" si="29"/>
        <v>1674.9196894065412</v>
      </c>
      <c r="DS13" s="29">
        <f t="shared" si="30"/>
        <v>2.700365626231933E-2</v>
      </c>
      <c r="DT13" s="271">
        <f t="shared" si="31"/>
        <v>40678</v>
      </c>
      <c r="DU13" s="89">
        <f t="shared" si="32"/>
        <v>332.50279094215711</v>
      </c>
      <c r="DV13" s="29">
        <f t="shared" si="33"/>
        <v>1.108342636473857E-2</v>
      </c>
      <c r="DW13" s="145">
        <f t="shared" si="34"/>
        <v>3.4912793048926494</v>
      </c>
      <c r="DX13" t="str">
        <f t="shared" si="64"/>
        <v/>
      </c>
      <c r="DY13" t="str">
        <f t="shared" si="65"/>
        <v/>
      </c>
      <c r="EA13">
        <f t="shared" si="67"/>
        <v>0</v>
      </c>
      <c r="EB13" s="17">
        <f t="shared" si="57"/>
        <v>18478.125</v>
      </c>
      <c r="EC13" s="18">
        <f t="shared" si="58"/>
        <v>8000</v>
      </c>
      <c r="ED13" s="264">
        <f t="shared" si="59"/>
        <v>10478.125</v>
      </c>
      <c r="EE13" s="264">
        <f t="shared" si="66"/>
        <v>688.97260273972597</v>
      </c>
      <c r="EF13" s="104">
        <f t="shared" si="60"/>
        <v>0.6</v>
      </c>
      <c r="EG13" s="263">
        <f t="shared" si="61"/>
        <v>69.68011612681579</v>
      </c>
      <c r="EI13" s="17">
        <f t="shared" si="62"/>
        <v>801.00464968467384</v>
      </c>
      <c r="EJ13" s="164">
        <f>ES$57</f>
        <v>152.08260982631234</v>
      </c>
      <c r="EK13" s="37">
        <f>ER$59</f>
        <v>8.4763166331309411E-2</v>
      </c>
      <c r="EO13" s="2">
        <v>40678</v>
      </c>
      <c r="EP13" s="259">
        <v>43054</v>
      </c>
      <c r="ER13" s="249">
        <v>0.57999999999999996</v>
      </c>
      <c r="ES13">
        <v>10.08</v>
      </c>
    </row>
    <row r="14" spans="1:168" ht="13" x14ac:dyDescent="0.3">
      <c r="A14" s="54"/>
      <c r="B14" s="401"/>
      <c r="AE14" s="383"/>
      <c r="AF14" s="398"/>
      <c r="AZ14" s="406">
        <f t="shared" si="35"/>
        <v>40695</v>
      </c>
      <c r="BA14" s="59">
        <f t="shared" si="0"/>
        <v>1674.9196894065412</v>
      </c>
      <c r="BB14" s="301">
        <f t="shared" si="36"/>
        <v>2.5073243018271293E-2</v>
      </c>
      <c r="BC14" s="233">
        <f t="shared" si="1"/>
        <v>2</v>
      </c>
      <c r="BD14" s="123">
        <f t="shared" si="37"/>
        <v>4.5960715348805854</v>
      </c>
      <c r="BE14" s="4">
        <f t="shared" si="2"/>
        <v>5.0144147105269377E-2</v>
      </c>
      <c r="BF14" s="3">
        <f t="shared" si="3"/>
        <v>0.3310288417704309</v>
      </c>
      <c r="BG14" s="498"/>
      <c r="BH14" s="496"/>
      <c r="BI14" s="496"/>
      <c r="BJ14" s="496"/>
      <c r="BK14" s="496"/>
      <c r="BL14" s="496"/>
      <c r="BN14" s="511"/>
      <c r="BO14" s="271">
        <f t="shared" si="38"/>
        <v>40695</v>
      </c>
      <c r="BP14" s="376">
        <f>IF($AZ$31="d",'Colony Type'!H41,IF($AZ$31="n",'Colony Type'!H69,IF($AZ$31="p",'Colony Type'!H97,IF($AZ$31="a",'Colony Type'!H125,IF($AZ$31="b",'Colony Type'!H153,IF($AZ$31="c",'Colony Type'!H181,IF($AZ$31="r",'Colony Type'!H209,IF($AZ$31="s",'Colony Type'!H237,IF($AZ$31="f",'Colony Type'!H265,"error")))))))))</f>
        <v>19</v>
      </c>
      <c r="BQ14">
        <f t="shared" si="4"/>
        <v>38000</v>
      </c>
      <c r="BR14" s="81">
        <f>IF($AZ$31="d",'Colony Type'!F41,IF($AZ$31="n",'Colony Type'!F69,IF($AZ$31="p",'Colony Type'!F97,IF($AZ$31="a",'Colony Type'!F125,IF($AZ$31="b",'Colony Type'!F153,IF($AZ$31="c",'Colony Type'!F181,IF($AZ$31="r",'Colony Type'!F209,IF($AZ$31="s",'Colony Type'!F237,IF($AZ$31="f",'Colony Type'!F265,"error")))))))))</f>
        <v>7</v>
      </c>
      <c r="BS14" s="17">
        <f t="shared" si="5"/>
        <v>31500</v>
      </c>
      <c r="BT14" s="21">
        <f t="shared" si="6"/>
        <v>0.82894736842105265</v>
      </c>
      <c r="BU14">
        <f t="shared" si="39"/>
        <v>18900</v>
      </c>
      <c r="BV14" s="18">
        <f t="shared" si="40"/>
        <v>947.72438028959118</v>
      </c>
      <c r="BW14" s="18">
        <f t="shared" si="7"/>
        <v>1575</v>
      </c>
      <c r="BX14" s="141">
        <f t="shared" si="41"/>
        <v>5.9379930694739915</v>
      </c>
      <c r="BY14" s="27">
        <f t="shared" si="8"/>
        <v>17.93799306947399</v>
      </c>
      <c r="BZ14" s="32">
        <f t="shared" si="9"/>
        <v>0.3310288417704309</v>
      </c>
      <c r="CA14" s="130">
        <f t="shared" si="10"/>
        <v>0.6689711582295691</v>
      </c>
      <c r="CB14" s="28">
        <f t="shared" si="11"/>
        <v>1120.472964563804</v>
      </c>
      <c r="CC14" s="255">
        <f t="shared" si="12"/>
        <v>18900</v>
      </c>
      <c r="CD14" s="80">
        <f>IF($AZ$31="d",'Colony Type'!J41,IF($AZ$31="n",'Colony Type'!J69,IF($AZ$31="p",'Colony Type'!J97,IF($AZ$31="a",'Colony Type'!J125,IF($AZ$31="b",'Colony Type'!J153,IF($AZ$31="c",'Colony Type'!J181,IF($AZ$31="r",'Colony Type'!J209,IF($AZ$31="s",'Colony Type'!J209,IF($AZ$31="f",'Colony Type'!J265,"error")))))))))</f>
        <v>0.05</v>
      </c>
      <c r="CE14" s="106">
        <f t="shared" si="42"/>
        <v>3.2000000000000001E-2</v>
      </c>
      <c r="CF14" s="75">
        <f t="shared" si="43"/>
        <v>0.16</v>
      </c>
      <c r="CG14" s="102">
        <f t="shared" si="44"/>
        <v>0.10703538531673105</v>
      </c>
      <c r="CH14" s="72">
        <f t="shared" si="13"/>
        <v>179.27567433020863</v>
      </c>
      <c r="CI14" s="73">
        <f t="shared" si="45"/>
        <v>0.29642141919677351</v>
      </c>
      <c r="CJ14" s="356">
        <f t="shared" si="14"/>
        <v>0.25652595224343955</v>
      </c>
      <c r="CK14" s="357">
        <f t="shared" si="46"/>
        <v>1.1555221473867632</v>
      </c>
      <c r="CL14" s="73">
        <f t="shared" si="15"/>
        <v>20.93799306947399</v>
      </c>
      <c r="CM14" s="355">
        <v>1</v>
      </c>
      <c r="CN14" s="84">
        <f t="shared" si="16"/>
        <v>4.2749999999999995</v>
      </c>
      <c r="CO14" s="78">
        <f t="shared" si="47"/>
        <v>9.8493837450082944E-2</v>
      </c>
      <c r="CP14" s="103">
        <f t="shared" si="48"/>
        <v>0.56193577291283803</v>
      </c>
      <c r="CQ14" s="71">
        <f t="shared" si="49"/>
        <v>18295.2</v>
      </c>
      <c r="CR14" s="71">
        <f t="shared" si="17"/>
        <v>941.19729023359537</v>
      </c>
      <c r="CS14" s="74">
        <f t="shared" si="18"/>
        <v>5.1445039695307802E-2</v>
      </c>
      <c r="CT14" s="353">
        <f t="shared" si="19"/>
        <v>5.0144147105269377E-2</v>
      </c>
      <c r="CU14" s="355">
        <f t="shared" si="50"/>
        <v>1.0259225999937656</v>
      </c>
      <c r="CV14" s="76">
        <f t="shared" si="20"/>
        <v>0.84</v>
      </c>
      <c r="CW14" s="74">
        <f t="shared" si="21"/>
        <v>17.93799306947399</v>
      </c>
      <c r="CX14" s="354">
        <v>1</v>
      </c>
      <c r="CY14" s="83">
        <f t="shared" si="51"/>
        <v>2.2586249999999999</v>
      </c>
      <c r="CZ14" s="79">
        <f t="shared" si="22"/>
        <v>6.518049768398862E-2</v>
      </c>
      <c r="DA14" s="112">
        <f t="shared" si="23"/>
        <v>4.7169579187688701E-2</v>
      </c>
      <c r="DB14" s="55">
        <f t="shared" si="24"/>
        <v>-6.0180723255630212E-3</v>
      </c>
      <c r="DC14" s="133">
        <f t="shared" si="25"/>
        <v>4.1151506862125681E-2</v>
      </c>
      <c r="DD14" s="133"/>
      <c r="DE14" s="378">
        <f t="shared" si="68"/>
        <v>1674.9196894065412</v>
      </c>
      <c r="DF14" s="240">
        <f t="shared" si="26"/>
        <v>1172.4437825845787</v>
      </c>
      <c r="DG14" s="240">
        <f t="shared" si="69"/>
        <v>1073.0637352272524</v>
      </c>
      <c r="DH14" s="148">
        <f t="shared" si="52"/>
        <v>1125.6852256167831</v>
      </c>
      <c r="DI14" s="17">
        <f t="shared" si="53"/>
        <v>2800.6049150233243</v>
      </c>
      <c r="DJ14" s="266">
        <f t="shared" si="54"/>
        <v>244.9447165683373</v>
      </c>
      <c r="DK14" s="135">
        <f t="shared" si="27"/>
        <v>2555.660198454987</v>
      </c>
      <c r="DL14" s="244">
        <f>'Mite Immigration'!C22</f>
        <v>2</v>
      </c>
      <c r="DM14" s="137">
        <f t="shared" si="55"/>
        <v>-105.21036967420839</v>
      </c>
      <c r="DN14" s="98">
        <f t="shared" si="63"/>
        <v>-103.21036967420839</v>
      </c>
      <c r="DO14" s="265">
        <f t="shared" si="28"/>
        <v>2452.4498287807787</v>
      </c>
      <c r="DP14" s="393">
        <f>ET$32</f>
        <v>0</v>
      </c>
      <c r="DQ14" s="135">
        <f t="shared" si="56"/>
        <v>0</v>
      </c>
      <c r="DR14" s="95">
        <f t="shared" si="29"/>
        <v>2452.4498287807787</v>
      </c>
      <c r="DS14" s="29">
        <f t="shared" si="30"/>
        <v>2.5073243018271293E-2</v>
      </c>
      <c r="DT14" s="271">
        <f t="shared" si="31"/>
        <v>40695</v>
      </c>
      <c r="DU14" s="89">
        <f t="shared" si="32"/>
        <v>554.44672484273724</v>
      </c>
      <c r="DV14" s="29">
        <f t="shared" si="33"/>
        <v>1.4590703285335191E-2</v>
      </c>
      <c r="DW14" s="145">
        <f t="shared" si="34"/>
        <v>4.5960715348805854</v>
      </c>
      <c r="DX14" t="str">
        <f t="shared" si="64"/>
        <v/>
      </c>
      <c r="DY14" t="str">
        <f t="shared" si="65"/>
        <v/>
      </c>
      <c r="EA14">
        <f t="shared" si="67"/>
        <v>0</v>
      </c>
      <c r="EB14" s="17">
        <f t="shared" si="57"/>
        <v>20017.96875</v>
      </c>
      <c r="EC14" s="18">
        <f t="shared" si="58"/>
        <v>8000</v>
      </c>
      <c r="ED14" s="264">
        <f t="shared" si="59"/>
        <v>12017.96875</v>
      </c>
      <c r="EE14" s="264">
        <f t="shared" si="66"/>
        <v>790.22260273972597</v>
      </c>
      <c r="EF14" s="104">
        <f t="shared" si="60"/>
        <v>0.6</v>
      </c>
      <c r="EG14" s="263">
        <f t="shared" si="61"/>
        <v>105.21036967420839</v>
      </c>
      <c r="EI14" s="17">
        <f t="shared" si="62"/>
        <v>1125.6852256167831</v>
      </c>
      <c r="EJ14" s="164">
        <f>ET$57</f>
        <v>222.70241552270909</v>
      </c>
      <c r="EK14" s="37">
        <f>ES$59</f>
        <v>7.5301859980195285E-2</v>
      </c>
      <c r="EO14" s="2">
        <v>40695</v>
      </c>
      <c r="EP14" s="259">
        <v>43070</v>
      </c>
      <c r="ER14" s="249">
        <v>0.56999999999999995</v>
      </c>
    </row>
    <row r="15" spans="1:168" ht="12.75" customHeight="1" x14ac:dyDescent="0.3">
      <c r="A15" s="54"/>
      <c r="B15" s="401"/>
      <c r="AE15" s="383"/>
      <c r="AF15" s="398"/>
      <c r="AZ15" s="406">
        <f t="shared" si="35"/>
        <v>40709</v>
      </c>
      <c r="BA15" s="59">
        <f t="shared" si="0"/>
        <v>2452.4498287807787</v>
      </c>
      <c r="BB15" s="301">
        <f t="shared" si="36"/>
        <v>2.2389608447591421E-2</v>
      </c>
      <c r="BC15" s="233">
        <f t="shared" si="1"/>
        <v>3</v>
      </c>
      <c r="BD15" s="123">
        <f t="shared" si="37"/>
        <v>6.4926798782512529</v>
      </c>
      <c r="BE15" s="4">
        <f t="shared" si="2"/>
        <v>7.3572786691024072E-2</v>
      </c>
      <c r="BF15" s="3">
        <f t="shared" si="3"/>
        <v>0.36979921223943024</v>
      </c>
      <c r="BG15" s="499" t="s">
        <v>376</v>
      </c>
      <c r="BH15" s="496" t="s">
        <v>4</v>
      </c>
      <c r="BI15" s="496"/>
      <c r="BJ15" s="496"/>
      <c r="BK15" s="496"/>
      <c r="BL15" s="496"/>
      <c r="BN15" s="511"/>
      <c r="BO15" s="271">
        <f t="shared" si="38"/>
        <v>40709</v>
      </c>
      <c r="BP15" s="376">
        <f>IF($AZ$31="d",'Colony Type'!H42,IF($AZ$31="n",'Colony Type'!H70,IF($AZ$31="p",'Colony Type'!H98,IF($AZ$31="a",'Colony Type'!H126,IF($AZ$31="b",'Colony Type'!H154,IF($AZ$31="c",'Colony Type'!H182,IF($AZ$31="r",'Colony Type'!H210,IF($AZ$31="s",'Colony Type'!H238,IF($AZ$31="f",'Colony Type'!H266,"error")))))))))</f>
        <v>22</v>
      </c>
      <c r="BQ15">
        <f t="shared" si="4"/>
        <v>44000</v>
      </c>
      <c r="BR15" s="81">
        <f>IF($AZ$31="d",'Colony Type'!F42,IF($AZ$31="n",'Colony Type'!F70,IF($AZ$31="p",'Colony Type'!F98,IF($AZ$31="a",'Colony Type'!F126,IF($AZ$31="b",'Colony Type'!F154,IF($AZ$31="c",'Colony Type'!F182,IF($AZ$31="r",'Colony Type'!F210,IF($AZ$31="s",'Colony Type'!F238,IF($AZ$31="f",'Colony Type'!F266,"error")))))))))</f>
        <v>6.5</v>
      </c>
      <c r="BS15" s="17">
        <f t="shared" si="5"/>
        <v>29250</v>
      </c>
      <c r="BT15" s="21">
        <f t="shared" si="6"/>
        <v>0.66477272727272729</v>
      </c>
      <c r="BU15">
        <f t="shared" si="39"/>
        <v>17550</v>
      </c>
      <c r="BV15" s="18">
        <f t="shared" si="40"/>
        <v>1291.2024064274724</v>
      </c>
      <c r="BW15" s="18">
        <f t="shared" si="7"/>
        <v>1462.5</v>
      </c>
      <c r="BX15" s="141">
        <f t="shared" si="41"/>
        <v>7.041550301201978</v>
      </c>
      <c r="BY15" s="27">
        <f t="shared" si="8"/>
        <v>19.04155030120198</v>
      </c>
      <c r="BZ15" s="32">
        <f t="shared" si="9"/>
        <v>0.36979921223943024</v>
      </c>
      <c r="CA15" s="130">
        <f t="shared" si="10"/>
        <v>0.63020078776056976</v>
      </c>
      <c r="CB15" s="28">
        <f t="shared" si="11"/>
        <v>1545.5358140409212</v>
      </c>
      <c r="CC15" s="255">
        <f t="shared" si="12"/>
        <v>17550</v>
      </c>
      <c r="CD15" s="80">
        <f>IF($AZ$31="d",'Colony Type'!J42,IF($AZ$31="n",'Colony Type'!J70,IF($AZ$31="p",'Colony Type'!J98,IF($AZ$31="a",'Colony Type'!J126,IF($AZ$31="b",'Colony Type'!J154,IF($AZ$31="c",'Colony Type'!J182,IF($AZ$31="r",'Colony Type'!J210,IF($AZ$31="s",'Colony Type'!J210,IF($AZ$31="f",'Colony Type'!J266,"error")))))))))</f>
        <v>0.05</v>
      </c>
      <c r="CE15" s="106">
        <f t="shared" si="42"/>
        <v>3.2000000000000001E-2</v>
      </c>
      <c r="CF15" s="75">
        <f t="shared" si="43"/>
        <v>0.16</v>
      </c>
      <c r="CG15" s="102">
        <f t="shared" si="44"/>
        <v>0.10083212604169116</v>
      </c>
      <c r="CH15" s="72">
        <f t="shared" si="13"/>
        <v>247.28573024654739</v>
      </c>
      <c r="CI15" s="73">
        <f t="shared" si="45"/>
        <v>0.44032359374385216</v>
      </c>
      <c r="CJ15" s="356">
        <f t="shared" si="14"/>
        <v>0.35617195135770663</v>
      </c>
      <c r="CK15" s="357">
        <f t="shared" si="46"/>
        <v>1.2362668987980789</v>
      </c>
      <c r="CL15" s="73">
        <f t="shared" si="15"/>
        <v>22.04155030120198</v>
      </c>
      <c r="CM15" s="355">
        <v>1</v>
      </c>
      <c r="CN15" s="84">
        <f t="shared" si="16"/>
        <v>4.2749999999999995</v>
      </c>
      <c r="CO15" s="78">
        <f t="shared" si="47"/>
        <v>9.8493837450082944E-2</v>
      </c>
      <c r="CP15" s="103">
        <f t="shared" si="48"/>
        <v>0.52936866171887864</v>
      </c>
      <c r="CQ15" s="71">
        <f t="shared" si="49"/>
        <v>16988.399999999998</v>
      </c>
      <c r="CR15" s="71">
        <f t="shared" si="17"/>
        <v>1298.2500837943737</v>
      </c>
      <c r="CS15" s="74">
        <f t="shared" si="18"/>
        <v>7.6419797261329719E-2</v>
      </c>
      <c r="CT15" s="353">
        <f t="shared" si="19"/>
        <v>7.3572786691024072E-2</v>
      </c>
      <c r="CU15" s="355">
        <f t="shared" si="50"/>
        <v>1.0386823989671428</v>
      </c>
      <c r="CV15" s="76">
        <f t="shared" si="20"/>
        <v>0.84</v>
      </c>
      <c r="CW15" s="74">
        <f t="shared" si="21"/>
        <v>19.04155030120198</v>
      </c>
      <c r="CX15" s="354">
        <v>1</v>
      </c>
      <c r="CY15" s="83">
        <f t="shared" si="51"/>
        <v>2.2586249999999999</v>
      </c>
      <c r="CZ15" s="79">
        <f t="shared" si="22"/>
        <v>6.518049768398862E-2</v>
      </c>
      <c r="DA15" s="112">
        <f t="shared" si="23"/>
        <v>4.4435855861240131E-2</v>
      </c>
      <c r="DB15" s="55">
        <f t="shared" si="24"/>
        <v>-6.0180723255630212E-3</v>
      </c>
      <c r="DC15" s="133">
        <f t="shared" si="25"/>
        <v>3.8417783535677111E-2</v>
      </c>
      <c r="DD15" s="133"/>
      <c r="DE15" s="378">
        <f t="shared" si="68"/>
        <v>2452.4498287807787</v>
      </c>
      <c r="DF15" s="240">
        <f t="shared" si="26"/>
        <v>1716.7148801465451</v>
      </c>
      <c r="DG15" s="240">
        <f t="shared" si="69"/>
        <v>1587.4430566158321</v>
      </c>
      <c r="DH15" s="148">
        <f>DG15*EXP(DA15*$BP$36)-DG15</f>
        <v>1532.8280437290973</v>
      </c>
      <c r="DI15" s="17">
        <f t="shared" si="53"/>
        <v>3985.277872509876</v>
      </c>
      <c r="DJ15" s="266">
        <f t="shared" si="54"/>
        <v>348.55782537961704</v>
      </c>
      <c r="DK15" s="135">
        <f t="shared" si="27"/>
        <v>3636.720047130259</v>
      </c>
      <c r="DL15" s="244">
        <f>'Mite Immigration'!C23</f>
        <v>3</v>
      </c>
      <c r="DM15" s="137">
        <f t="shared" si="55"/>
        <v>-192.40361174924917</v>
      </c>
      <c r="DN15" s="98">
        <f t="shared" si="63"/>
        <v>-189.40361174924917</v>
      </c>
      <c r="DO15" s="265">
        <f t="shared" si="28"/>
        <v>3447.3164353810098</v>
      </c>
      <c r="DP15" s="393">
        <f>EU$32</f>
        <v>0</v>
      </c>
      <c r="DQ15" s="135">
        <f t="shared" si="56"/>
        <v>0</v>
      </c>
      <c r="DR15" s="95">
        <f t="shared" si="29"/>
        <v>3447.3164353810098</v>
      </c>
      <c r="DS15" s="29">
        <f t="shared" si="30"/>
        <v>2.2389608447591421E-2</v>
      </c>
      <c r="DT15" s="271">
        <f t="shared" si="31"/>
        <v>40709</v>
      </c>
      <c r="DU15" s="89">
        <f t="shared" si="32"/>
        <v>906.91401473985752</v>
      </c>
      <c r="DV15" s="29">
        <f t="shared" si="33"/>
        <v>2.061168215317858E-2</v>
      </c>
      <c r="DW15" s="145">
        <f t="shared" si="34"/>
        <v>6.4926798782512529</v>
      </c>
      <c r="DX15" t="str">
        <f t="shared" si="64"/>
        <v/>
      </c>
      <c r="DY15" t="str">
        <f t="shared" si="65"/>
        <v/>
      </c>
      <c r="EA15">
        <f t="shared" si="67"/>
        <v>0</v>
      </c>
      <c r="EB15" s="17">
        <f t="shared" si="57"/>
        <v>21557.8125</v>
      </c>
      <c r="EC15" s="18">
        <f t="shared" si="58"/>
        <v>6000</v>
      </c>
      <c r="ED15" s="264">
        <f t="shared" si="59"/>
        <v>15557.8125</v>
      </c>
      <c r="EE15" s="264">
        <f t="shared" si="66"/>
        <v>1022.9794520547945</v>
      </c>
      <c r="EF15" s="104">
        <f t="shared" si="60"/>
        <v>0.6</v>
      </c>
      <c r="EG15" s="263">
        <f t="shared" si="61"/>
        <v>192.40361174924917</v>
      </c>
      <c r="EI15" s="17">
        <f t="shared" si="62"/>
        <v>1532.8280437290973</v>
      </c>
      <c r="EJ15" s="164">
        <f>EU$57</f>
        <v>351.14364111458519</v>
      </c>
      <c r="EK15" s="37">
        <f>ET$59</f>
        <v>7.4958829689095938E-2</v>
      </c>
      <c r="EO15" s="2">
        <v>40709</v>
      </c>
      <c r="EP15" s="259">
        <v>43084</v>
      </c>
      <c r="ER15" s="249">
        <v>0.55000000000000004</v>
      </c>
      <c r="ES15">
        <v>5.9849999999999994</v>
      </c>
    </row>
    <row r="16" spans="1:168" ht="13" x14ac:dyDescent="0.3">
      <c r="A16" s="54"/>
      <c r="B16" s="401"/>
      <c r="AE16" s="383"/>
      <c r="AF16" s="398"/>
      <c r="AZ16" s="406">
        <f t="shared" si="35"/>
        <v>40725</v>
      </c>
      <c r="BA16" s="59">
        <f t="shared" si="0"/>
        <v>3447.3164353810098</v>
      </c>
      <c r="BB16" s="301">
        <f t="shared" si="36"/>
        <v>2.0828844404650004E-2</v>
      </c>
      <c r="BC16" s="233">
        <f t="shared" si="1"/>
        <v>5</v>
      </c>
      <c r="BD16" s="123">
        <f t="shared" si="37"/>
        <v>8.9650869643731266</v>
      </c>
      <c r="BE16" s="4">
        <f t="shared" si="2"/>
        <v>0.1054924245013773</v>
      </c>
      <c r="BF16" s="3">
        <f t="shared" si="3"/>
        <v>0.39628172098980846</v>
      </c>
      <c r="BG16" s="498"/>
      <c r="BH16" s="496"/>
      <c r="BI16" s="496"/>
      <c r="BJ16" s="496"/>
      <c r="BK16" s="496"/>
      <c r="BL16" s="496"/>
      <c r="BN16" s="511"/>
      <c r="BO16" s="271">
        <f t="shared" si="38"/>
        <v>40725</v>
      </c>
      <c r="BP16" s="376">
        <f>IF($AZ$31="d",'Colony Type'!H43,IF($AZ$31="n",'Colony Type'!H71,IF($AZ$31="p",'Colony Type'!H99,IF($AZ$31="a",'Colony Type'!H127,IF($AZ$31="b",'Colony Type'!H155,IF($AZ$31="c",'Colony Type'!H183,IF($AZ$31="r",'Colony Type'!H211,IF($AZ$31="s",'Colony Type'!H239,IF($AZ$31="f",'Colony Type'!H267,"error")))))))))</f>
        <v>24</v>
      </c>
      <c r="BQ16">
        <f t="shared" si="4"/>
        <v>48000</v>
      </c>
      <c r="BR16" s="81">
        <f>IF($AZ$31="d",'Colony Type'!F43,IF($AZ$31="n",'Colony Type'!F71,IF($AZ$31="p",'Colony Type'!F99,IF($AZ$31="a",'Colony Type'!F127,IF($AZ$31="b",'Colony Type'!F155,IF($AZ$31="c",'Colony Type'!F183,IF($AZ$31="r",'Colony Type'!F211,IF($AZ$31="s",'Colony Type'!F239,IF($AZ$31="f",'Colony Type'!F267,"error")))))))))</f>
        <v>6</v>
      </c>
      <c r="BS16" s="17">
        <f t="shared" si="5"/>
        <v>27000</v>
      </c>
      <c r="BT16" s="21">
        <f t="shared" si="6"/>
        <v>0.5625</v>
      </c>
      <c r="BU16">
        <f t="shared" si="39"/>
        <v>16200</v>
      </c>
      <c r="BV16" s="18">
        <f t="shared" si="40"/>
        <v>1708.9772769223123</v>
      </c>
      <c r="BW16" s="128">
        <f t="shared" si="7"/>
        <v>1350</v>
      </c>
      <c r="BX16" s="141">
        <f t="shared" si="41"/>
        <v>7.8768207245178088</v>
      </c>
      <c r="BY16" s="27">
        <f t="shared" si="8"/>
        <v>19.87682072451781</v>
      </c>
      <c r="BZ16" s="32">
        <f t="shared" si="9"/>
        <v>0.39628172098980846</v>
      </c>
      <c r="CA16" s="130">
        <f t="shared" si="10"/>
        <v>0.60371827901019159</v>
      </c>
      <c r="CB16" s="28">
        <f t="shared" si="11"/>
        <v>2081.2079455717717</v>
      </c>
      <c r="CC16" s="255">
        <f t="shared" si="12"/>
        <v>16200</v>
      </c>
      <c r="CD16" s="80">
        <f>IF($AZ$31="d",'Colony Type'!J43,IF($AZ$31="n",'Colony Type'!J71,IF($AZ$31="p",'Colony Type'!J99,IF($AZ$31="a",'Colony Type'!J127,IF($AZ$31="b",'Colony Type'!J155,IF($AZ$31="c",'Colony Type'!J183,IF($AZ$31="r",'Colony Type'!J211,IF($AZ$31="s",'Colony Type'!J211,IF($AZ$31="f",'Colony Type'!J267,"error")))))))))</f>
        <v>0.05</v>
      </c>
      <c r="CE16" s="106">
        <f t="shared" si="42"/>
        <v>3.2000000000000001E-2</v>
      </c>
      <c r="CF16" s="75">
        <f t="shared" si="43"/>
        <v>0.16</v>
      </c>
      <c r="CG16" s="102">
        <f t="shared" si="44"/>
        <v>9.6594924641630664E-2</v>
      </c>
      <c r="CH16" s="72">
        <f t="shared" si="13"/>
        <v>332.9932712914835</v>
      </c>
      <c r="CI16" s="73">
        <f t="shared" si="45"/>
        <v>0.64234813134931235</v>
      </c>
      <c r="CJ16" s="356">
        <f t="shared" si="14"/>
        <v>0.47394427529362626</v>
      </c>
      <c r="CK16" s="357">
        <f t="shared" si="46"/>
        <v>1.3553241696006426</v>
      </c>
      <c r="CL16" s="73">
        <f t="shared" si="15"/>
        <v>22.87682072451781</v>
      </c>
      <c r="CM16" s="355">
        <v>1</v>
      </c>
      <c r="CN16" s="84">
        <f t="shared" si="16"/>
        <v>4.2749999999999995</v>
      </c>
      <c r="CO16" s="78">
        <f t="shared" si="47"/>
        <v>9.8493837450082944E-2</v>
      </c>
      <c r="CP16" s="103">
        <f t="shared" si="48"/>
        <v>0.50712335436856093</v>
      </c>
      <c r="CQ16" s="71">
        <f t="shared" si="49"/>
        <v>15681.6</v>
      </c>
      <c r="CR16" s="71">
        <f t="shared" si="17"/>
        <v>1748.2146742802881</v>
      </c>
      <c r="CS16" s="74">
        <f t="shared" si="18"/>
        <v>0.11148190709368229</v>
      </c>
      <c r="CT16" s="353">
        <f t="shared" si="19"/>
        <v>0.1054924245013773</v>
      </c>
      <c r="CU16" s="355">
        <f t="shared" si="50"/>
        <v>1.0567664062533755</v>
      </c>
      <c r="CV16" s="76">
        <f t="shared" si="20"/>
        <v>0.84</v>
      </c>
      <c r="CW16" s="74">
        <f t="shared" si="21"/>
        <v>19.87682072451781</v>
      </c>
      <c r="CX16" s="354">
        <v>1</v>
      </c>
      <c r="CY16" s="83">
        <f t="shared" si="51"/>
        <v>2.2586249999999999</v>
      </c>
      <c r="CZ16" s="79">
        <f t="shared" si="22"/>
        <v>6.518049768398862E-2</v>
      </c>
      <c r="DA16" s="112">
        <f t="shared" si="23"/>
        <v>4.256855743107231E-2</v>
      </c>
      <c r="DB16" s="55">
        <f t="shared" si="24"/>
        <v>-6.0180723255630212E-3</v>
      </c>
      <c r="DC16" s="133">
        <f t="shared" si="25"/>
        <v>3.6550485105509289E-2</v>
      </c>
      <c r="DD16" s="133"/>
      <c r="DE16" s="378">
        <f t="shared" si="68"/>
        <v>3447.3164353810098</v>
      </c>
      <c r="DF16" s="240">
        <f t="shared" si="26"/>
        <v>2413.1215047667065</v>
      </c>
      <c r="DG16" s="240">
        <f t="shared" si="69"/>
        <v>2232.2367408718042</v>
      </c>
      <c r="DH16" s="148">
        <f>DG16*EXP(DA16*$BP$36)-DG16</f>
        <v>2032.5872700099949</v>
      </c>
      <c r="DI16" s="17">
        <f t="shared" si="53"/>
        <v>5479.9037053910051</v>
      </c>
      <c r="DJ16" s="266">
        <f t="shared" si="54"/>
        <v>479.27983441663037</v>
      </c>
      <c r="DK16" s="135">
        <f t="shared" si="27"/>
        <v>5000.6238709743748</v>
      </c>
      <c r="DL16" s="244">
        <f>'Mite Immigration'!C24</f>
        <v>5</v>
      </c>
      <c r="DM16" s="137">
        <f t="shared" si="55"/>
        <v>-273.52853873592591</v>
      </c>
      <c r="DN16" s="98">
        <f t="shared" si="63"/>
        <v>-268.52853873592591</v>
      </c>
      <c r="DO16" s="265">
        <f t="shared" si="28"/>
        <v>4732.0953322384485</v>
      </c>
      <c r="DP16" s="393">
        <f>EV$32</f>
        <v>0</v>
      </c>
      <c r="DQ16" s="135">
        <f t="shared" si="56"/>
        <v>0</v>
      </c>
      <c r="DR16" s="95">
        <f t="shared" si="29"/>
        <v>4732.0953322384485</v>
      </c>
      <c r="DS16" s="29">
        <f t="shared" si="30"/>
        <v>2.0828844404650004E-2</v>
      </c>
      <c r="DT16" s="271">
        <f t="shared" si="31"/>
        <v>40725</v>
      </c>
      <c r="DU16" s="89">
        <f t="shared" si="32"/>
        <v>1366.1084898092383</v>
      </c>
      <c r="DV16" s="29">
        <f t="shared" si="33"/>
        <v>2.8460593537692466E-2</v>
      </c>
      <c r="DW16" s="145">
        <f t="shared" si="34"/>
        <v>8.9650869643731266</v>
      </c>
      <c r="DX16" t="str">
        <f t="shared" si="64"/>
        <v/>
      </c>
      <c r="DY16" t="str">
        <f t="shared" si="65"/>
        <v/>
      </c>
      <c r="EA16">
        <f t="shared" si="67"/>
        <v>0</v>
      </c>
      <c r="EB16" s="17">
        <f t="shared" si="57"/>
        <v>20017.96875</v>
      </c>
      <c r="EC16" s="18">
        <f t="shared" si="58"/>
        <v>4000</v>
      </c>
      <c r="ED16" s="264">
        <f t="shared" si="59"/>
        <v>16017.96875</v>
      </c>
      <c r="EE16" s="264">
        <f t="shared" si="66"/>
        <v>1053.236301369863</v>
      </c>
      <c r="EF16" s="104">
        <f t="shared" si="60"/>
        <v>0.6</v>
      </c>
      <c r="EG16" s="263">
        <f t="shared" si="61"/>
        <v>273.52853873592591</v>
      </c>
      <c r="EI16" s="17">
        <f t="shared" si="62"/>
        <v>2032.5872700099949</v>
      </c>
      <c r="EJ16" s="164">
        <f>EV$57</f>
        <v>543.60764508098634</v>
      </c>
      <c r="EK16" s="37">
        <f>EU$59</f>
        <v>8.2673030585925233E-2</v>
      </c>
      <c r="EO16" s="2">
        <v>40725</v>
      </c>
      <c r="EP16" s="259">
        <v>43101</v>
      </c>
      <c r="ER16" s="249">
        <v>0.55000000000000004</v>
      </c>
    </row>
    <row r="17" spans="1:163" ht="12.75" customHeight="1" x14ac:dyDescent="0.3">
      <c r="A17" s="54"/>
      <c r="B17" s="401"/>
      <c r="AE17" s="383"/>
      <c r="AF17" s="383"/>
      <c r="AZ17" s="406">
        <f t="shared" si="35"/>
        <v>40739</v>
      </c>
      <c r="BA17" s="59">
        <f t="shared" si="0"/>
        <v>4732.0953322384485</v>
      </c>
      <c r="BB17" s="301">
        <f t="shared" si="36"/>
        <v>1.8535625562615839E-2</v>
      </c>
      <c r="BC17" s="233">
        <f t="shared" si="1"/>
        <v>10</v>
      </c>
      <c r="BD17" s="123">
        <f t="shared" si="37"/>
        <v>12.770602339536904</v>
      </c>
      <c r="BE17" s="4">
        <f t="shared" si="2"/>
        <v>0.15959899761904295</v>
      </c>
      <c r="BF17" s="3">
        <f t="shared" si="3"/>
        <v>0.42836832187730856</v>
      </c>
      <c r="BG17" s="497">
        <v>0.25</v>
      </c>
      <c r="BH17" s="496" t="s">
        <v>313</v>
      </c>
      <c r="BI17" s="496"/>
      <c r="BJ17" s="496"/>
      <c r="BK17" s="496"/>
      <c r="BL17" s="496"/>
      <c r="BN17" s="511"/>
      <c r="BO17" s="271">
        <f t="shared" si="38"/>
        <v>40739</v>
      </c>
      <c r="BP17" s="376">
        <f>IF($AZ$31="d",'Colony Type'!H44,IF($AZ$31="n",'Colony Type'!H72,IF($AZ$31="p",'Colony Type'!H100,IF($AZ$31="a",'Colony Type'!H128,IF($AZ$31="b",'Colony Type'!H156,IF($AZ$31="c",'Colony Type'!H184,IF($AZ$31="r",'Colony Type'!H212,IF($AZ$31="s",'Colony Type'!H240,IF($AZ$31="f",'Colony Type'!H268,"error")))))))))</f>
        <v>25</v>
      </c>
      <c r="BQ17">
        <f t="shared" si="4"/>
        <v>50000</v>
      </c>
      <c r="BR17" s="81">
        <f>IF($AZ$31="d",'Colony Type'!F44,IF($AZ$31="n",'Colony Type'!F72,IF($AZ$31="p",'Colony Type'!F100,IF($AZ$31="a",'Colony Type'!F128,IF($AZ$31="b",'Colony Type'!F156,IF($AZ$31="c",'Colony Type'!F184,IF($AZ$31="r",'Colony Type'!F212,IF($AZ$31="s",'Colony Type'!F240,IF($AZ$31="f",'Colony Type'!F268,"error")))))))))</f>
        <v>5</v>
      </c>
      <c r="BS17" s="17">
        <f t="shared" si="5"/>
        <v>22500</v>
      </c>
      <c r="BT17" s="21">
        <f t="shared" si="6"/>
        <v>0.45</v>
      </c>
      <c r="BU17">
        <f t="shared" si="39"/>
        <v>13500</v>
      </c>
      <c r="BV17" s="18">
        <f t="shared" si="40"/>
        <v>2154.5864678570797</v>
      </c>
      <c r="BW17" s="128">
        <f t="shared" si="7"/>
        <v>1125</v>
      </c>
      <c r="BX17" s="141">
        <f t="shared" si="41"/>
        <v>8.9925384810888573</v>
      </c>
      <c r="BY17" s="27">
        <f t="shared" si="8"/>
        <v>20.992538481088857</v>
      </c>
      <c r="BZ17" s="32">
        <f t="shared" si="9"/>
        <v>0.42836832187730856</v>
      </c>
      <c r="CA17" s="130">
        <f t="shared" si="10"/>
        <v>0.57163167812269144</v>
      </c>
      <c r="CB17" s="28">
        <f t="shared" si="11"/>
        <v>2705.0155958040195</v>
      </c>
      <c r="CC17" s="255">
        <f t="shared" si="12"/>
        <v>13500</v>
      </c>
      <c r="CD17" s="80">
        <f>IF($AZ$31="d",'Colony Type'!J44,IF($AZ$31="n",'Colony Type'!J72,IF($AZ$31="p",'Colony Type'!J100,IF($AZ$31="a",'Colony Type'!J128,IF($AZ$31="b",'Colony Type'!J156,IF($AZ$31="c",'Colony Type'!J184,IF($AZ$31="r",'Colony Type'!J212,IF($AZ$31="s",'Colony Type'!J212,IF($AZ$31="f",'Colony Type'!J268,"error")))))))))</f>
        <v>0.05</v>
      </c>
      <c r="CE17" s="106">
        <f t="shared" si="42"/>
        <v>3.2000000000000001E-2</v>
      </c>
      <c r="CF17" s="75">
        <f t="shared" si="43"/>
        <v>0.16</v>
      </c>
      <c r="CG17" s="102">
        <f t="shared" si="44"/>
        <v>9.1461068499630635E-2</v>
      </c>
      <c r="CH17" s="72">
        <f t="shared" si="13"/>
        <v>432.80249532864315</v>
      </c>
      <c r="CI17" s="73">
        <f t="shared" si="45"/>
        <v>1.0018576280755629</v>
      </c>
      <c r="CJ17" s="356">
        <f t="shared" si="14"/>
        <v>0.63280330766386284</v>
      </c>
      <c r="CK17" s="357">
        <f t="shared" si="46"/>
        <v>1.5832054225097969</v>
      </c>
      <c r="CL17" s="73">
        <f t="shared" si="15"/>
        <v>23.992538481088857</v>
      </c>
      <c r="CM17" s="355">
        <v>1</v>
      </c>
      <c r="CN17" s="84">
        <f t="shared" si="16"/>
        <v>4.2749999999999995</v>
      </c>
      <c r="CO17" s="78">
        <f t="shared" si="47"/>
        <v>9.8493837450082944E-2</v>
      </c>
      <c r="CP17" s="103">
        <f t="shared" si="48"/>
        <v>0.4801706096230608</v>
      </c>
      <c r="CQ17" s="71">
        <f t="shared" si="49"/>
        <v>13068</v>
      </c>
      <c r="CR17" s="71">
        <f t="shared" si="17"/>
        <v>2272.2131004753765</v>
      </c>
      <c r="CS17" s="74">
        <f t="shared" si="18"/>
        <v>0.17387611726931254</v>
      </c>
      <c r="CT17" s="353">
        <f t="shared" si="19"/>
        <v>0.15959899761904295</v>
      </c>
      <c r="CU17" s="355">
        <f t="shared" si="50"/>
        <v>1.0894493725767211</v>
      </c>
      <c r="CV17" s="76">
        <f t="shared" si="20"/>
        <v>0.84</v>
      </c>
      <c r="CW17" s="74">
        <f t="shared" si="21"/>
        <v>20.992538481088857</v>
      </c>
      <c r="CX17" s="354">
        <v>1</v>
      </c>
      <c r="CY17" s="83">
        <f t="shared" si="51"/>
        <v>2.2586249999999999</v>
      </c>
      <c r="CZ17" s="79">
        <f t="shared" si="22"/>
        <v>6.518049768398862E-2</v>
      </c>
      <c r="DA17" s="112">
        <f t="shared" si="23"/>
        <v>4.0306110922268837E-2</v>
      </c>
      <c r="DB17" s="55">
        <f t="shared" si="24"/>
        <v>-6.0180723255630212E-3</v>
      </c>
      <c r="DC17" s="133">
        <f t="shared" si="25"/>
        <v>3.4288038596705817E-2</v>
      </c>
      <c r="DD17" s="133"/>
      <c r="DE17" s="378">
        <f t="shared" si="68"/>
        <v>4732.0953322384485</v>
      </c>
      <c r="DF17" s="240">
        <f t="shared" si="26"/>
        <v>3312.4667325669138</v>
      </c>
      <c r="DG17" s="240">
        <f t="shared" si="69"/>
        <v>3038.6150690705495</v>
      </c>
      <c r="DH17" s="148">
        <f t="shared" ref="DH17:DH28" si="70">DG17*EXP(DA17*$BP$36)-DG17</f>
        <v>2570.4868024012308</v>
      </c>
      <c r="DI17" s="17">
        <f t="shared" si="53"/>
        <v>7302.5821346396788</v>
      </c>
      <c r="DJ17" s="266">
        <f t="shared" si="54"/>
        <v>638.6937699034288</v>
      </c>
      <c r="DK17" s="135">
        <f t="shared" si="27"/>
        <v>6663.88836473625</v>
      </c>
      <c r="DL17" s="244">
        <f>'Mite Immigration'!C25</f>
        <v>10</v>
      </c>
      <c r="DM17" s="137">
        <f t="shared" si="55"/>
        <v>-400.82967938320292</v>
      </c>
      <c r="DN17" s="98">
        <f t="shared" si="63"/>
        <v>-390.82967938320292</v>
      </c>
      <c r="DO17" s="265">
        <f t="shared" si="28"/>
        <v>6273.0586853530467</v>
      </c>
      <c r="DP17" s="393">
        <f>EW$32</f>
        <v>0</v>
      </c>
      <c r="DQ17" s="135">
        <f t="shared" si="56"/>
        <v>0</v>
      </c>
      <c r="DR17" s="95">
        <f t="shared" si="29"/>
        <v>6273.0586853530467</v>
      </c>
      <c r="DS17" s="29">
        <f t="shared" si="30"/>
        <v>1.8535625562615839E-2</v>
      </c>
      <c r="DT17" s="271">
        <f t="shared" si="31"/>
        <v>40739</v>
      </c>
      <c r="DU17" s="89">
        <f t="shared" si="32"/>
        <v>2027.0797364344292</v>
      </c>
      <c r="DV17" s="29">
        <f t="shared" si="33"/>
        <v>4.0541594728688582E-2</v>
      </c>
      <c r="DW17" s="145">
        <f t="shared" si="34"/>
        <v>12.770602339536904</v>
      </c>
      <c r="DX17" t="str">
        <f t="shared" si="64"/>
        <v/>
      </c>
      <c r="DY17" t="str">
        <f t="shared" si="65"/>
        <v/>
      </c>
      <c r="EA17">
        <f t="shared" si="67"/>
        <v>0</v>
      </c>
      <c r="EB17" s="17">
        <f t="shared" si="57"/>
        <v>18478.125</v>
      </c>
      <c r="EC17" s="18">
        <f t="shared" si="58"/>
        <v>2000</v>
      </c>
      <c r="ED17" s="264">
        <f t="shared" si="59"/>
        <v>16478.125</v>
      </c>
      <c r="EE17" s="264">
        <f t="shared" si="66"/>
        <v>1083.4931506849314</v>
      </c>
      <c r="EF17" s="104">
        <f t="shared" si="60"/>
        <v>0.6</v>
      </c>
      <c r="EG17" s="263">
        <f t="shared" si="61"/>
        <v>400.82967938320292</v>
      </c>
      <c r="EI17" s="17">
        <f t="shared" si="62"/>
        <v>2570.4868024012308</v>
      </c>
      <c r="EJ17" s="164">
        <f>EW$57</f>
        <v>849.29125624275116</v>
      </c>
      <c r="EK17" s="37">
        <f>EV$59</f>
        <v>9.192893248282237E-2</v>
      </c>
      <c r="EO17" s="2">
        <v>40739</v>
      </c>
      <c r="EP17" s="259">
        <v>43115</v>
      </c>
      <c r="ER17" s="249">
        <v>0.56000000000000005</v>
      </c>
      <c r="ES17">
        <v>11.654999999999999</v>
      </c>
    </row>
    <row r="18" spans="1:163" ht="12.75" customHeight="1" x14ac:dyDescent="0.3">
      <c r="A18" s="54"/>
      <c r="B18" s="401"/>
      <c r="AE18" s="383"/>
      <c r="AF18" s="383"/>
      <c r="AZ18" s="406">
        <f t="shared" si="35"/>
        <v>40756</v>
      </c>
      <c r="BA18" s="59">
        <f t="shared" si="0"/>
        <v>6273.0586853530467</v>
      </c>
      <c r="BB18" s="301">
        <f t="shared" si="36"/>
        <v>1.7651403446160448E-2</v>
      </c>
      <c r="BC18" s="233">
        <f t="shared" si="1"/>
        <v>15</v>
      </c>
      <c r="BD18" s="123">
        <f t="shared" si="37"/>
        <v>17.482269794579789</v>
      </c>
      <c r="BE18" s="4">
        <f t="shared" si="2"/>
        <v>0.22107339226789879</v>
      </c>
      <c r="BF18" s="3">
        <f t="shared" si="3"/>
        <v>0.44236210732993247</v>
      </c>
      <c r="BG18" s="498"/>
      <c r="BH18" s="496"/>
      <c r="BI18" s="496"/>
      <c r="BJ18" s="496"/>
      <c r="BK18" s="496"/>
      <c r="BL18" s="496"/>
      <c r="BN18" s="511"/>
      <c r="BO18" s="271">
        <f t="shared" si="38"/>
        <v>40756</v>
      </c>
      <c r="BP18" s="376">
        <f>IF($AZ$31="d",'Colony Type'!H45,IF($AZ$31="n",'Colony Type'!H73,IF($AZ$31="p",'Colony Type'!H101,IF($AZ$31="a",'Colony Type'!H129,IF($AZ$31="b",'Colony Type'!H157,IF($AZ$31="c",'Colony Type'!H185,IF($AZ$31="r",'Colony Type'!H213,IF($AZ$31="s",'Colony Type'!H241,IF($AZ$31="f",'Colony Type'!H269,"error")))))))))</f>
        <v>25</v>
      </c>
      <c r="BQ18">
        <f t="shared" si="4"/>
        <v>50000</v>
      </c>
      <c r="BR18" s="81">
        <f>IF($AZ$31="d",'Colony Type'!F45,IF($AZ$31="n",'Colony Type'!F73,IF($AZ$31="p",'Colony Type'!F101,IF($AZ$31="a",'Colony Type'!F129,IF($AZ$31="b",'Colony Type'!F157,IF($AZ$31="c",'Colony Type'!F185,IF($AZ$31="r",'Colony Type'!F213,IF($AZ$31="s",'Colony Type'!F241,IF($AZ$31="f",'Colony Type'!F269,"error")))))))))</f>
        <v>4.5</v>
      </c>
      <c r="BS18" s="17">
        <f t="shared" si="5"/>
        <v>20250</v>
      </c>
      <c r="BT18" s="21">
        <f t="shared" si="6"/>
        <v>0.40500000000000003</v>
      </c>
      <c r="BU18">
        <f t="shared" si="39"/>
        <v>12150</v>
      </c>
      <c r="BV18" s="18">
        <f t="shared" si="40"/>
        <v>2686.0417160549705</v>
      </c>
      <c r="BW18" s="18">
        <f t="shared" si="7"/>
        <v>1012.5</v>
      </c>
      <c r="BX18" s="141">
        <f t="shared" si="41"/>
        <v>9.5193410593779895</v>
      </c>
      <c r="BY18" s="27">
        <f t="shared" si="8"/>
        <v>21.519341059377989</v>
      </c>
      <c r="BZ18" s="32">
        <f t="shared" si="9"/>
        <v>0.44236210732993247</v>
      </c>
      <c r="CA18" s="130">
        <f t="shared" si="10"/>
        <v>0.55763789267006758</v>
      </c>
      <c r="CB18" s="28">
        <f t="shared" si="11"/>
        <v>3498.0952258959373</v>
      </c>
      <c r="CC18" s="255">
        <f t="shared" si="12"/>
        <v>12150</v>
      </c>
      <c r="CD18" s="80">
        <f>IF($AZ$31="d",'Colony Type'!J45,IF($AZ$31="n",'Colony Type'!J73,IF($AZ$31="p",'Colony Type'!J101,IF($AZ$31="a",'Colony Type'!J129,IF($AZ$31="b",'Colony Type'!J157,IF($AZ$31="c",'Colony Type'!J185,IF($AZ$31="r",'Colony Type'!J213,IF($AZ$31="s",'Colony Type'!J213,IF($AZ$31="f",'Colony Type'!J269,"error")))))))))</f>
        <v>0.05</v>
      </c>
      <c r="CE18" s="106">
        <f t="shared" si="42"/>
        <v>3.2000000000000001E-2</v>
      </c>
      <c r="CF18" s="75">
        <f t="shared" si="43"/>
        <v>0.16</v>
      </c>
      <c r="CG18" s="102">
        <f t="shared" si="44"/>
        <v>8.9222062827210818E-2</v>
      </c>
      <c r="CH18" s="72">
        <f t="shared" si="13"/>
        <v>559.69523614335003</v>
      </c>
      <c r="CI18" s="73">
        <f t="shared" si="45"/>
        <v>1.4395453604510031</v>
      </c>
      <c r="CJ18" s="356">
        <f t="shared" si="14"/>
        <v>0.76296450009867234</v>
      </c>
      <c r="CK18" s="357">
        <f t="shared" si="46"/>
        <v>1.886778952709897</v>
      </c>
      <c r="CL18" s="73">
        <f t="shared" si="15"/>
        <v>24.519341059377989</v>
      </c>
      <c r="CM18" s="355">
        <v>1</v>
      </c>
      <c r="CN18" s="84">
        <f t="shared" si="16"/>
        <v>4.2749999999999995</v>
      </c>
      <c r="CO18" s="78">
        <f t="shared" si="47"/>
        <v>9.8493837450082944E-2</v>
      </c>
      <c r="CP18" s="103">
        <f t="shared" si="48"/>
        <v>0.46841582984285679</v>
      </c>
      <c r="CQ18" s="71">
        <f t="shared" si="49"/>
        <v>11761.199999999999</v>
      </c>
      <c r="CR18" s="71">
        <f t="shared" si="17"/>
        <v>2938.3999897525873</v>
      </c>
      <c r="CS18" s="74">
        <f t="shared" si="18"/>
        <v>0.24983845098736418</v>
      </c>
      <c r="CT18" s="353">
        <f t="shared" si="19"/>
        <v>0.22107339226789879</v>
      </c>
      <c r="CU18" s="355">
        <f t="shared" si="50"/>
        <v>1.1301103145614848</v>
      </c>
      <c r="CV18" s="76">
        <f t="shared" si="20"/>
        <v>0.84</v>
      </c>
      <c r="CW18" s="74">
        <f t="shared" si="21"/>
        <v>21.519341059377989</v>
      </c>
      <c r="CX18" s="354">
        <v>1</v>
      </c>
      <c r="CY18" s="83">
        <f t="shared" si="51"/>
        <v>2.2586249999999999</v>
      </c>
      <c r="CZ18" s="79">
        <f t="shared" si="22"/>
        <v>6.518049768398862E-2</v>
      </c>
      <c r="DA18" s="112">
        <f t="shared" si="23"/>
        <v>3.931940026528033E-2</v>
      </c>
      <c r="DB18" s="55">
        <f t="shared" si="24"/>
        <v>-6.0180723255630212E-3</v>
      </c>
      <c r="DC18" s="133">
        <f t="shared" si="25"/>
        <v>3.330132793971731E-2</v>
      </c>
      <c r="DD18" s="133"/>
      <c r="DE18" s="378">
        <f t="shared" si="68"/>
        <v>6273.0586853530467</v>
      </c>
      <c r="DF18" s="240">
        <f t="shared" si="26"/>
        <v>4391.1410797471326</v>
      </c>
      <c r="DG18" s="240">
        <f t="shared" si="69"/>
        <v>3987.4681679045107</v>
      </c>
      <c r="DH18" s="148">
        <f t="shared" si="70"/>
        <v>3263.5292247822917</v>
      </c>
      <c r="DI18" s="17">
        <f t="shared" si="53"/>
        <v>9536.5879101353385</v>
      </c>
      <c r="DJ18" s="266">
        <f t="shared" si="54"/>
        <v>834.08295477396132</v>
      </c>
      <c r="DK18" s="135">
        <f t="shared" si="27"/>
        <v>8702.5049553613771</v>
      </c>
      <c r="DL18" s="244">
        <f>'Mite Immigration'!C26</f>
        <v>15</v>
      </c>
      <c r="DM18" s="137">
        <f t="shared" si="55"/>
        <v>-512.76121674280898</v>
      </c>
      <c r="DN18" s="98">
        <f t="shared" si="63"/>
        <v>-497.76121674280898</v>
      </c>
      <c r="DO18" s="265">
        <f t="shared" si="28"/>
        <v>8204.7437386185684</v>
      </c>
      <c r="DP18" s="393">
        <f>EX$32</f>
        <v>0</v>
      </c>
      <c r="DQ18" s="135">
        <f t="shared" si="56"/>
        <v>0</v>
      </c>
      <c r="DR18" s="95">
        <f t="shared" si="29"/>
        <v>8204.7437386185684</v>
      </c>
      <c r="DS18" s="29">
        <f t="shared" si="30"/>
        <v>1.7651403446160448E-2</v>
      </c>
      <c r="DT18" s="271">
        <f t="shared" si="31"/>
        <v>40756</v>
      </c>
      <c r="DU18" s="89">
        <f t="shared" si="32"/>
        <v>2774.9634594571094</v>
      </c>
      <c r="DV18" s="29">
        <f t="shared" si="33"/>
        <v>5.5499269189142185E-2</v>
      </c>
      <c r="DW18" s="145">
        <f t="shared" si="34"/>
        <v>17.482269794579789</v>
      </c>
      <c r="DX18" t="str">
        <f t="shared" si="64"/>
        <v/>
      </c>
      <c r="DY18" t="str">
        <f t="shared" si="65"/>
        <v/>
      </c>
      <c r="EA18">
        <f t="shared" si="67"/>
        <v>0</v>
      </c>
      <c r="EB18" s="17">
        <f t="shared" si="57"/>
        <v>15398.4375</v>
      </c>
      <c r="EC18" s="18">
        <f t="shared" si="58"/>
        <v>0</v>
      </c>
      <c r="ED18" s="264">
        <f t="shared" si="59"/>
        <v>15398.4375</v>
      </c>
      <c r="EE18" s="264">
        <f t="shared" si="66"/>
        <v>1012.5</v>
      </c>
      <c r="EF18" s="104">
        <f t="shared" si="60"/>
        <v>0.6</v>
      </c>
      <c r="EG18" s="263">
        <f t="shared" si="61"/>
        <v>512.76121674280898</v>
      </c>
      <c r="EI18" s="17">
        <f t="shared" si="62"/>
        <v>3263.5292247822917</v>
      </c>
      <c r="EJ18" s="164">
        <f>EX$57</f>
        <v>1286.0346880611355</v>
      </c>
      <c r="EK18" s="37">
        <f>EW$59</f>
        <v>0.10651538606844278</v>
      </c>
      <c r="EO18" s="2">
        <v>40756</v>
      </c>
      <c r="EP18" s="259">
        <v>43132</v>
      </c>
      <c r="ER18" s="249">
        <v>0.56000000000000005</v>
      </c>
    </row>
    <row r="19" spans="1:163" ht="12.75" customHeight="1" x14ac:dyDescent="0.3">
      <c r="A19" s="54"/>
      <c r="B19" s="401"/>
      <c r="AE19" s="383"/>
      <c r="AF19" s="383"/>
      <c r="AZ19" s="406">
        <f t="shared" si="35"/>
        <v>40770</v>
      </c>
      <c r="BA19" s="59">
        <f t="shared" si="0"/>
        <v>8204.7437386185684</v>
      </c>
      <c r="BB19" s="301">
        <f t="shared" si="36"/>
        <v>1.5473897482444781E-2</v>
      </c>
      <c r="BC19" s="233">
        <f t="shared" si="1"/>
        <v>30</v>
      </c>
      <c r="BD19" s="123">
        <f t="shared" si="37"/>
        <v>25.907021786597031</v>
      </c>
      <c r="BE19" s="4">
        <f t="shared" si="2"/>
        <v>0.30821430671927119</v>
      </c>
      <c r="BF19" s="3">
        <f t="shared" si="3"/>
        <v>0.44105687076243161</v>
      </c>
      <c r="BG19" s="499" t="s">
        <v>377</v>
      </c>
      <c r="BH19" s="496" t="s">
        <v>144</v>
      </c>
      <c r="BI19" s="496"/>
      <c r="BJ19" s="496"/>
      <c r="BK19" s="496"/>
      <c r="BL19" s="496"/>
      <c r="BN19" s="511"/>
      <c r="BO19" s="271">
        <f t="shared" si="38"/>
        <v>40770</v>
      </c>
      <c r="BP19" s="376">
        <f>IF($AZ$31="d",'Colony Type'!H46,IF($AZ$31="n",'Colony Type'!H74,IF($AZ$31="p",'Colony Type'!H102,IF($AZ$31="a",'Colony Type'!H130,IF($AZ$31="b",'Colony Type'!H158,IF($AZ$31="c",'Colony Type'!H186,IF($AZ$31="r",'Colony Type'!H214,IF($AZ$31="s",'Colony Type'!H242,IF($AZ$31="f",'Colony Type'!H270,"error")))))))))</f>
        <v>22</v>
      </c>
      <c r="BQ19">
        <f t="shared" si="4"/>
        <v>44000</v>
      </c>
      <c r="BR19" s="81">
        <f>IF($AZ$31="d",'Colony Type'!F46,IF($AZ$31="n",'Colony Type'!F74,IF($AZ$31="p",'Colony Type'!F102,IF($AZ$31="a",'Colony Type'!F130,IF($AZ$31="b",'Colony Type'!F158,IF($AZ$31="c",'Colony Type'!F186,IF($AZ$31="r",'Colony Type'!F214,IF($AZ$31="s",'Colony Type'!F242,IF($AZ$31="f",'Colony Type'!F270,"error")))))))))</f>
        <v>4</v>
      </c>
      <c r="BS19" s="17">
        <f t="shared" si="5"/>
        <v>18000</v>
      </c>
      <c r="BT19" s="21">
        <f t="shared" si="6"/>
        <v>0.40909090909090912</v>
      </c>
      <c r="BU19">
        <f t="shared" si="39"/>
        <v>10800</v>
      </c>
      <c r="BV19" s="18">
        <f t="shared" si="40"/>
        <v>3328.7145125681291</v>
      </c>
      <c r="BW19" s="18">
        <f t="shared" si="7"/>
        <v>900</v>
      </c>
      <c r="BX19" s="141">
        <f t="shared" si="41"/>
        <v>9.4690893801104821</v>
      </c>
      <c r="BY19" s="27">
        <f t="shared" si="8"/>
        <v>21.469089380110482</v>
      </c>
      <c r="BZ19" s="32">
        <f t="shared" si="9"/>
        <v>0.44105687076243161</v>
      </c>
      <c r="CA19" s="130">
        <f t="shared" si="10"/>
        <v>0.55894312923756839</v>
      </c>
      <c r="CB19" s="28">
        <f t="shared" si="11"/>
        <v>4585.9851398558085</v>
      </c>
      <c r="CC19" s="255">
        <f t="shared" si="12"/>
        <v>10800</v>
      </c>
      <c r="CD19" s="80">
        <f>IF($AZ$31="d",'Colony Type'!J46,IF($AZ$31="n",'Colony Type'!J74,IF($AZ$31="p",'Colony Type'!J102,IF($AZ$31="a",'Colony Type'!J130,IF($AZ$31="b",'Colony Type'!J158,IF($AZ$31="c",'Colony Type'!J186,IF($AZ$31="r",'Colony Type'!J214,IF($AZ$31="s",'Colony Type'!J214,IF($AZ$31="f",'Colony Type'!J270,"error")))))))))</f>
        <v>0.05</v>
      </c>
      <c r="CE19" s="106">
        <f t="shared" si="42"/>
        <v>3.2000000000000001E-2</v>
      </c>
      <c r="CF19" s="75">
        <f t="shared" si="43"/>
        <v>0.16</v>
      </c>
      <c r="CG19" s="102">
        <f t="shared" si="44"/>
        <v>8.9430900678010947E-2</v>
      </c>
      <c r="CH19" s="72">
        <f t="shared" si="13"/>
        <v>733.75762237692936</v>
      </c>
      <c r="CI19" s="73">
        <f t="shared" si="45"/>
        <v>2.123141268451763</v>
      </c>
      <c r="CJ19" s="356">
        <f t="shared" si="14"/>
        <v>0.88034483146591291</v>
      </c>
      <c r="CK19" s="357">
        <f t="shared" si="46"/>
        <v>2.4117154921173309</v>
      </c>
      <c r="CL19" s="73">
        <f t="shared" si="15"/>
        <v>24.469089380110482</v>
      </c>
      <c r="CM19" s="355">
        <v>1</v>
      </c>
      <c r="CN19" s="84">
        <f t="shared" si="16"/>
        <v>4.2749999999999995</v>
      </c>
      <c r="CO19" s="78">
        <f t="shared" si="47"/>
        <v>9.8493837450082944E-2</v>
      </c>
      <c r="CP19" s="103">
        <f t="shared" si="48"/>
        <v>0.46951222855955743</v>
      </c>
      <c r="CQ19" s="71">
        <f t="shared" si="49"/>
        <v>10454.4</v>
      </c>
      <c r="CR19" s="71">
        <f t="shared" si="17"/>
        <v>3852.2275174788792</v>
      </c>
      <c r="CS19" s="74">
        <f t="shared" si="18"/>
        <v>0.3684790631197275</v>
      </c>
      <c r="CT19" s="353">
        <f t="shared" si="19"/>
        <v>0.30821430671927119</v>
      </c>
      <c r="CU19" s="355">
        <f t="shared" si="50"/>
        <v>1.1955248655296209</v>
      </c>
      <c r="CV19" s="76">
        <f t="shared" si="20"/>
        <v>0.84</v>
      </c>
      <c r="CW19" s="74">
        <f t="shared" si="21"/>
        <v>21.469089380110482</v>
      </c>
      <c r="CX19" s="354">
        <v>1</v>
      </c>
      <c r="CY19" s="83">
        <f t="shared" si="51"/>
        <v>2.2586249999999999</v>
      </c>
      <c r="CZ19" s="79">
        <f t="shared" si="22"/>
        <v>6.518049768398862E-2</v>
      </c>
      <c r="DA19" s="112">
        <f t="shared" si="23"/>
        <v>3.9411433320625092E-2</v>
      </c>
      <c r="DB19" s="55">
        <f t="shared" si="24"/>
        <v>-6.0180723255630212E-3</v>
      </c>
      <c r="DC19" s="133">
        <f t="shared" si="25"/>
        <v>3.3393360995062071E-2</v>
      </c>
      <c r="DD19" s="133"/>
      <c r="DE19" s="378">
        <f t="shared" si="68"/>
        <v>8204.7437386185684</v>
      </c>
      <c r="DF19" s="240">
        <f t="shared" si="26"/>
        <v>5743.3206170329977</v>
      </c>
      <c r="DG19" s="240">
        <f t="shared" si="69"/>
        <v>5131.5686041948811</v>
      </c>
      <c r="DH19" s="148">
        <f t="shared" si="70"/>
        <v>4212.9843175852857</v>
      </c>
      <c r="DI19" s="17">
        <f t="shared" si="53"/>
        <v>12417.728056203854</v>
      </c>
      <c r="DJ19" s="266">
        <f t="shared" si="54"/>
        <v>1086.0713922314208</v>
      </c>
      <c r="DK19" s="135">
        <f t="shared" si="27"/>
        <v>11331.656663972433</v>
      </c>
      <c r="DL19" s="244">
        <f>'Mite Immigration'!C27</f>
        <v>30</v>
      </c>
      <c r="DM19" s="137">
        <f t="shared" si="55"/>
        <v>-979.95623034748508</v>
      </c>
      <c r="DN19" s="98">
        <f t="shared" si="63"/>
        <v>-949.95623034748508</v>
      </c>
      <c r="DO19" s="265">
        <f t="shared" si="28"/>
        <v>10381.700433624948</v>
      </c>
      <c r="DP19" s="393">
        <f>EY$32</f>
        <v>0</v>
      </c>
      <c r="DQ19" s="135">
        <f t="shared" si="56"/>
        <v>0</v>
      </c>
      <c r="DR19" s="95">
        <f t="shared" si="29"/>
        <v>10381.700433624948</v>
      </c>
      <c r="DS19" s="29">
        <f t="shared" si="30"/>
        <v>1.5473897482444781E-2</v>
      </c>
      <c r="DT19" s="271">
        <f t="shared" si="31"/>
        <v>40770</v>
      </c>
      <c r="DU19" s="89">
        <f t="shared" si="32"/>
        <v>3618.7585987627599</v>
      </c>
      <c r="DV19" s="29">
        <f t="shared" si="33"/>
        <v>8.2244513608244543E-2</v>
      </c>
      <c r="DW19" s="145">
        <f t="shared" si="34"/>
        <v>25.907021786597031</v>
      </c>
      <c r="DX19" t="str">
        <f t="shared" si="64"/>
        <v/>
      </c>
      <c r="DY19" t="str">
        <f t="shared" si="65"/>
        <v/>
      </c>
      <c r="EA19">
        <f t="shared" si="67"/>
        <v>0</v>
      </c>
      <c r="EB19" s="17">
        <f t="shared" si="57"/>
        <v>13858.59375</v>
      </c>
      <c r="EC19" s="18">
        <f t="shared" si="58"/>
        <v>-6000</v>
      </c>
      <c r="ED19" s="264">
        <f t="shared" si="59"/>
        <v>19858.59375</v>
      </c>
      <c r="EE19" s="264">
        <f t="shared" si="66"/>
        <v>1305.7705479452054</v>
      </c>
      <c r="EF19" s="104">
        <f t="shared" si="60"/>
        <v>0.6</v>
      </c>
      <c r="EG19" s="263">
        <f t="shared" si="61"/>
        <v>979.95623034748508</v>
      </c>
      <c r="EI19" s="17">
        <f t="shared" si="62"/>
        <v>4212.9843175852857</v>
      </c>
      <c r="EJ19" s="164">
        <f>EY$57</f>
        <v>1891.8249987626873</v>
      </c>
      <c r="EK19" s="37">
        <f>EX$59</f>
        <v>0.12191397995112888</v>
      </c>
      <c r="EM19" s="37"/>
      <c r="EO19" s="2">
        <v>40770</v>
      </c>
      <c r="EP19" s="259">
        <v>43146</v>
      </c>
      <c r="ES19">
        <v>13.23</v>
      </c>
    </row>
    <row r="20" spans="1:163" ht="12.75" customHeight="1" x14ac:dyDescent="0.3">
      <c r="A20" s="54"/>
      <c r="B20" s="572" t="s">
        <v>352</v>
      </c>
      <c r="C20" s="573"/>
      <c r="D20" s="125"/>
      <c r="E20" s="125"/>
      <c r="F20" s="125"/>
      <c r="G20" s="125"/>
      <c r="H20" s="125"/>
      <c r="I20" s="125"/>
      <c r="J20" s="125"/>
      <c r="K20" s="125"/>
      <c r="L20" s="125"/>
      <c r="M20" s="125"/>
      <c r="N20" s="125"/>
      <c r="O20" s="125"/>
      <c r="P20" s="125"/>
      <c r="Q20" s="125"/>
      <c r="R20" s="125"/>
      <c r="S20" s="125"/>
      <c r="T20" s="125">
        <v>0.95</v>
      </c>
      <c r="U20" s="125"/>
      <c r="V20" s="125"/>
      <c r="W20" s="125"/>
      <c r="X20" s="125"/>
      <c r="Y20" s="125"/>
      <c r="Z20" s="173"/>
      <c r="AA20" s="405"/>
      <c r="AB20" s="571"/>
      <c r="AC20" s="571"/>
      <c r="AE20" s="383"/>
      <c r="AF20" s="383"/>
      <c r="AZ20" s="406">
        <f t="shared" si="35"/>
        <v>40787</v>
      </c>
      <c r="BA20" s="59">
        <f t="shared" si="0"/>
        <v>10381.700433624948</v>
      </c>
      <c r="BB20" s="301">
        <f t="shared" si="36"/>
        <v>1.3298618606478295E-2</v>
      </c>
      <c r="BC20" s="233">
        <f t="shared" si="1"/>
        <v>40</v>
      </c>
      <c r="BD20" s="123">
        <f t="shared" si="37"/>
        <v>37.809950683946809</v>
      </c>
      <c r="BE20" s="4">
        <f t="shared" si="2"/>
        <v>0.44232651206013729</v>
      </c>
      <c r="BF20" s="3">
        <f t="shared" si="3"/>
        <v>0.43935003028936037</v>
      </c>
      <c r="BG20" s="498"/>
      <c r="BH20" s="496"/>
      <c r="BI20" s="496"/>
      <c r="BJ20" s="496"/>
      <c r="BK20" s="496"/>
      <c r="BL20" s="496"/>
      <c r="BN20" s="511"/>
      <c r="BO20" s="271">
        <f t="shared" si="38"/>
        <v>40787</v>
      </c>
      <c r="BP20" s="376">
        <f>IF($AZ$31="d",'Colony Type'!H47,IF($AZ$31="n",'Colony Type'!H75,IF($AZ$31="p",'Colony Type'!H103,IF($AZ$31="a",'Colony Type'!H131,IF($AZ$31="b",'Colony Type'!H159,IF($AZ$31="c",'Colony Type'!H187,IF($AZ$31="r",'Colony Type'!H215,IF($AZ$31="s",'Colony Type'!H243,IF($AZ$31="f",'Colony Type'!H271,"error")))))))))</f>
        <v>19</v>
      </c>
      <c r="BQ20">
        <f t="shared" si="4"/>
        <v>38000</v>
      </c>
      <c r="BR20" s="81">
        <f>IF($AZ$31="d",'Colony Type'!F47,IF($AZ$31="n",'Colony Type'!F75,IF($AZ$31="p",'Colony Type'!F103,IF($AZ$31="a",'Colony Type'!F131,IF($AZ$31="b",'Colony Type'!F159,IF($AZ$31="c",'Colony Type'!F187,IF($AZ$31="r",'Colony Type'!F215,IF($AZ$31="s",'Colony Type'!F243,IF($AZ$31="f",'Colony Type'!F271,"error")))))))))</f>
        <v>3.5</v>
      </c>
      <c r="BS20" s="17">
        <f t="shared" si="5"/>
        <v>15750</v>
      </c>
      <c r="BT20" s="21">
        <f t="shared" si="6"/>
        <v>0.41447368421052633</v>
      </c>
      <c r="BU20">
        <f t="shared" si="39"/>
        <v>9450</v>
      </c>
      <c r="BV20" s="18">
        <f t="shared" si="40"/>
        <v>4179.9855389682971</v>
      </c>
      <c r="BW20" s="18">
        <f t="shared" si="7"/>
        <v>787.5</v>
      </c>
      <c r="BX20" s="141">
        <f t="shared" si="41"/>
        <v>9.4037289722737185</v>
      </c>
      <c r="BY20" s="27">
        <f t="shared" si="8"/>
        <v>21.403728972273719</v>
      </c>
      <c r="BZ20" s="32">
        <f t="shared" si="9"/>
        <v>0.43935003028936037</v>
      </c>
      <c r="CA20" s="130">
        <f t="shared" si="10"/>
        <v>0.56064996971063963</v>
      </c>
      <c r="CB20" s="28">
        <f t="shared" si="11"/>
        <v>5820.5000336567618</v>
      </c>
      <c r="CC20" s="255">
        <f t="shared" si="12"/>
        <v>9450</v>
      </c>
      <c r="CD20" s="80">
        <f>IF($AZ$31="d",'Colony Type'!J47,IF($AZ$31="n",'Colony Type'!J75,IF($AZ$31="p",'Colony Type'!J103,IF($AZ$31="a",'Colony Type'!J131,IF($AZ$31="b",'Colony Type'!J159,IF($AZ$31="c",'Colony Type'!J187,IF($AZ$31="r",'Colony Type'!J215,IF($AZ$31="s",'Colony Type'!J215,IF($AZ$31="f",'Colony Type'!J271,"error")))))))))</f>
        <v>0.02</v>
      </c>
      <c r="CE20" s="106">
        <f t="shared" si="42"/>
        <v>1.2800000000000001E-2</v>
      </c>
      <c r="CF20" s="75">
        <f t="shared" si="43"/>
        <v>6.4000000000000001E-2</v>
      </c>
      <c r="CG20" s="102">
        <f t="shared" si="44"/>
        <v>3.5881598061480939E-2</v>
      </c>
      <c r="CH20" s="72">
        <f t="shared" si="13"/>
        <v>372.51200215403276</v>
      </c>
      <c r="CI20" s="73">
        <f t="shared" si="45"/>
        <v>3.0796296474374398</v>
      </c>
      <c r="CJ20" s="356">
        <f t="shared" si="14"/>
        <v>0.95402371907018402</v>
      </c>
      <c r="CK20" s="357">
        <f t="shared" si="46"/>
        <v>3.228043062114772</v>
      </c>
      <c r="CL20" s="73">
        <f t="shared" si="15"/>
        <v>24.403728972273719</v>
      </c>
      <c r="CM20" s="355">
        <v>1</v>
      </c>
      <c r="CN20" s="84">
        <f t="shared" si="16"/>
        <v>4.2749999999999995</v>
      </c>
      <c r="CO20" s="78">
        <f t="shared" si="47"/>
        <v>9.8493837450082944E-2</v>
      </c>
      <c r="CP20" s="103">
        <f t="shared" si="48"/>
        <v>0.52476837164915868</v>
      </c>
      <c r="CQ20" s="71">
        <f t="shared" si="49"/>
        <v>9329.0399999999991</v>
      </c>
      <c r="CR20" s="71">
        <f t="shared" si="17"/>
        <v>5447.9880315027294</v>
      </c>
      <c r="CS20" s="74">
        <f t="shared" si="18"/>
        <v>0.58398163492735911</v>
      </c>
      <c r="CT20" s="353">
        <f t="shared" si="19"/>
        <v>0.44232651206013729</v>
      </c>
      <c r="CU20" s="355">
        <f t="shared" si="50"/>
        <v>1.3202471449435029</v>
      </c>
      <c r="CV20" s="76">
        <f t="shared" si="20"/>
        <v>0.93599999999999994</v>
      </c>
      <c r="CW20" s="74">
        <f t="shared" si="21"/>
        <v>21.403728972273719</v>
      </c>
      <c r="CX20" s="354">
        <v>1</v>
      </c>
      <c r="CY20" s="83">
        <f t="shared" si="51"/>
        <v>2.2586249999999999</v>
      </c>
      <c r="CZ20" s="79">
        <f t="shared" si="22"/>
        <v>6.518049768398862E-2</v>
      </c>
      <c r="DA20" s="112">
        <f t="shared" si="23"/>
        <v>3.7738779919825181E-2</v>
      </c>
      <c r="DB20" s="55">
        <f t="shared" si="24"/>
        <v>-6.0180723255630212E-3</v>
      </c>
      <c r="DC20" s="133">
        <f t="shared" si="25"/>
        <v>3.1720707594262161E-2</v>
      </c>
      <c r="DD20" s="133"/>
      <c r="DE20" s="378">
        <f t="shared" si="68"/>
        <v>10381.700433624948</v>
      </c>
      <c r="DF20" s="240">
        <f t="shared" si="26"/>
        <v>7267.1903035374635</v>
      </c>
      <c r="DG20" s="240">
        <f t="shared" si="69"/>
        <v>6381.2182105709589</v>
      </c>
      <c r="DH20" s="148">
        <f t="shared" si="70"/>
        <v>4947.0698515346385</v>
      </c>
      <c r="DI20" s="17">
        <f t="shared" si="53"/>
        <v>15328.770285159586</v>
      </c>
      <c r="DJ20" s="266">
        <f t="shared" si="54"/>
        <v>1340.6751065450771</v>
      </c>
      <c r="DK20" s="135">
        <f t="shared" si="27"/>
        <v>13988.095178614509</v>
      </c>
      <c r="DL20" s="244">
        <f>'Mite Immigration'!C28</f>
        <v>40</v>
      </c>
      <c r="DM20" s="137">
        <f t="shared" si="55"/>
        <v>-1319.2972077934298</v>
      </c>
      <c r="DN20" s="98">
        <f t="shared" si="63"/>
        <v>-1279.2972077934298</v>
      </c>
      <c r="DO20" s="265">
        <f t="shared" si="28"/>
        <v>12708.797970821079</v>
      </c>
      <c r="DP20" s="393">
        <f>EZ$32</f>
        <v>0</v>
      </c>
      <c r="DQ20" s="135">
        <f t="shared" si="56"/>
        <v>0</v>
      </c>
      <c r="DR20" s="95">
        <f t="shared" si="29"/>
        <v>12708.797970821079</v>
      </c>
      <c r="DS20" s="29">
        <f t="shared" si="30"/>
        <v>1.3298618606478295E-2</v>
      </c>
      <c r="DT20" s="271">
        <f t="shared" si="31"/>
        <v>40787</v>
      </c>
      <c r="DU20" s="89">
        <f t="shared" si="32"/>
        <v>4561.2003999681865</v>
      </c>
      <c r="DV20" s="29">
        <f t="shared" si="33"/>
        <v>0.12003158947284702</v>
      </c>
      <c r="DW20" s="145">
        <f t="shared" si="34"/>
        <v>37.809950683946809</v>
      </c>
      <c r="DX20" t="str">
        <f t="shared" si="64"/>
        <v/>
      </c>
      <c r="DY20" t="str">
        <f t="shared" si="65"/>
        <v/>
      </c>
      <c r="EA20">
        <f t="shared" si="67"/>
        <v>0</v>
      </c>
      <c r="EB20" s="17">
        <f t="shared" si="57"/>
        <v>12318.75</v>
      </c>
      <c r="EC20" s="18">
        <f t="shared" si="58"/>
        <v>-6000</v>
      </c>
      <c r="ED20" s="264">
        <f t="shared" si="59"/>
        <v>18318.75</v>
      </c>
      <c r="EE20" s="264">
        <f t="shared" si="66"/>
        <v>1204.5205479452054</v>
      </c>
      <c r="EF20" s="104">
        <f t="shared" si="60"/>
        <v>0.6</v>
      </c>
      <c r="EG20" s="263">
        <f t="shared" si="61"/>
        <v>1319.2972077934298</v>
      </c>
      <c r="EI20" s="17">
        <f t="shared" si="62"/>
        <v>4947.0698515346385</v>
      </c>
      <c r="EJ20" s="164">
        <f>EZ$57</f>
        <v>2704.5796744522113</v>
      </c>
      <c r="EK20" s="37">
        <f>EY$59</f>
        <v>0.13658240115665032</v>
      </c>
      <c r="EO20" s="2">
        <v>40787</v>
      </c>
      <c r="EP20" s="259">
        <v>43160</v>
      </c>
    </row>
    <row r="21" spans="1:163" ht="12.75" customHeight="1" x14ac:dyDescent="0.3">
      <c r="A21" s="54"/>
      <c r="B21" s="403" t="s">
        <v>346</v>
      </c>
      <c r="C21" s="408" t="s">
        <v>83</v>
      </c>
      <c r="D21" s="574" t="str">
        <f>IF($C$21="a",'Colony Type'!B114,IF($C$21="d",'Colony Type'!B30,IF($C$21="b",'Colony Type'!B142,IF($C$21="c",'Colony Type'!B170,IF($C$21="r",'Colony Type'!B198,IF($C$21="s",'Colony Type'!B226,IF($C$21="f",'Colony Type'!B254,IF($C$21="n",'Colony Type'!B58,IF($C$21="p",'Colony Type'!B86,"error")))))))))</f>
        <v>D: Default colony in temperate climate, managed to prevent swarming (slight fall brood buildup)</v>
      </c>
      <c r="E21" s="575"/>
      <c r="F21" s="575"/>
      <c r="G21" s="575"/>
      <c r="H21" s="575"/>
      <c r="I21" s="575"/>
      <c r="J21" s="575"/>
      <c r="K21" s="575"/>
      <c r="L21" s="575"/>
      <c r="M21" s="575"/>
      <c r="N21" s="575"/>
      <c r="O21" s="575"/>
      <c r="P21" s="575"/>
      <c r="Q21" s="575"/>
      <c r="R21" s="575"/>
      <c r="S21" s="575"/>
      <c r="T21" s="575"/>
      <c r="U21" s="575"/>
      <c r="V21" s="575"/>
      <c r="W21" s="575"/>
      <c r="X21" s="575"/>
      <c r="Y21" s="575"/>
      <c r="Z21" s="575"/>
      <c r="AA21" s="576"/>
      <c r="AB21" s="577" t="s">
        <v>351</v>
      </c>
      <c r="AC21" s="577"/>
      <c r="AZ21" s="406">
        <f t="shared" si="35"/>
        <v>40801</v>
      </c>
      <c r="BA21" s="59">
        <f t="shared" si="0"/>
        <v>12708.797970821079</v>
      </c>
      <c r="BB21" s="301">
        <f t="shared" si="36"/>
        <v>-0.18607435405245332</v>
      </c>
      <c r="BC21" s="233">
        <f t="shared" si="1"/>
        <v>50</v>
      </c>
      <c r="BD21" s="123">
        <f t="shared" si="37"/>
        <v>49.575727014076882</v>
      </c>
      <c r="BE21" s="4">
        <f t="shared" si="2"/>
        <v>0.49011734664078455</v>
      </c>
      <c r="BF21" s="3">
        <f t="shared" si="3"/>
        <v>0.39628172098980846</v>
      </c>
      <c r="BG21" s="519" t="s">
        <v>378</v>
      </c>
      <c r="BH21" s="496" t="s">
        <v>156</v>
      </c>
      <c r="BI21" s="496"/>
      <c r="BJ21" s="496"/>
      <c r="BK21" s="496"/>
      <c r="BL21" s="496"/>
      <c r="BN21" s="511"/>
      <c r="BO21" s="271">
        <f t="shared" si="38"/>
        <v>40801</v>
      </c>
      <c r="BP21" s="376">
        <f>IF($AZ$31="d",'Colony Type'!H48,IF($AZ$31="n",'Colony Type'!H76,IF($AZ$31="p",'Colony Type'!H104,IF($AZ$31="a",'Colony Type'!H132,IF($AZ$31="b",'Colony Type'!H160,IF($AZ$31="c",'Colony Type'!H188,IF($AZ$31="r",'Colony Type'!H216,IF($AZ$31="s",'Colony Type'!H244,IF($AZ$31="f",'Colony Type'!H272,"error")))))))))</f>
        <v>16</v>
      </c>
      <c r="BQ21">
        <f t="shared" si="4"/>
        <v>32000</v>
      </c>
      <c r="BR21" s="81">
        <f>IF($AZ$31="d",'Colony Type'!F48,IF($AZ$31="n",'Colony Type'!F76,IF($AZ$31="p",'Colony Type'!F104,IF($AZ$31="a",'Colony Type'!F132,IF($AZ$31="b",'Colony Type'!F160,IF($AZ$31="c",'Colony Type'!F188,IF($AZ$31="r",'Colony Type'!F216,IF($AZ$31="s",'Colony Type'!F244,IF($AZ$31="f",'Colony Type'!F272,"error")))))))))</f>
        <v>4</v>
      </c>
      <c r="BS21" s="17">
        <f t="shared" si="5"/>
        <v>18000</v>
      </c>
      <c r="BT21" s="21">
        <f t="shared" si="6"/>
        <v>0.5625</v>
      </c>
      <c r="BU21">
        <f t="shared" si="39"/>
        <v>10800</v>
      </c>
      <c r="BV21" s="18">
        <f t="shared" si="40"/>
        <v>5293.267343720473</v>
      </c>
      <c r="BW21" s="18">
        <f t="shared" si="7"/>
        <v>900</v>
      </c>
      <c r="BX21" s="141">
        <f t="shared" si="41"/>
        <v>7.8768207245178088</v>
      </c>
      <c r="BY21" s="27">
        <f t="shared" si="8"/>
        <v>19.87682072451781</v>
      </c>
      <c r="BZ21" s="32">
        <f t="shared" si="9"/>
        <v>0.39628172098980846</v>
      </c>
      <c r="CA21" s="130">
        <f t="shared" si="10"/>
        <v>0.60371827901019159</v>
      </c>
      <c r="CB21" s="28">
        <f t="shared" si="11"/>
        <v>7672.533639232317</v>
      </c>
      <c r="CC21" s="255">
        <f t="shared" si="12"/>
        <v>10800</v>
      </c>
      <c r="CD21" s="80">
        <f>IF($AZ$31="d",'Colony Type'!J48,IF($AZ$31="n",'Colony Type'!J76,IF($AZ$31="p",'Colony Type'!J104,IF($AZ$31="a",'Colony Type'!J132,IF($AZ$31="b",'Colony Type'!J160,IF($AZ$31="c",'Colony Type'!J188,IF($AZ$31="r",'Colony Type'!J216,IF($AZ$31="s",'Colony Type'!J216,IF($AZ$31="f",'Colony Type'!J272,"error")))))))))</f>
        <v>0.02</v>
      </c>
      <c r="CE21" s="106">
        <f t="shared" si="42"/>
        <v>1.2800000000000001E-2</v>
      </c>
      <c r="CF21" s="75">
        <f t="shared" si="43"/>
        <v>6.4000000000000001E-2</v>
      </c>
      <c r="CG21" s="102">
        <f t="shared" si="44"/>
        <v>3.8637969856652264E-2</v>
      </c>
      <c r="CH21" s="72">
        <f t="shared" si="13"/>
        <v>491.04215291086831</v>
      </c>
      <c r="CI21" s="73">
        <f t="shared" si="45"/>
        <v>3.5520989070519984</v>
      </c>
      <c r="CJ21" s="356">
        <f t="shared" si="14"/>
        <v>0.97133558746682203</v>
      </c>
      <c r="CK21" s="357">
        <f t="shared" si="46"/>
        <v>3.6569224404879819</v>
      </c>
      <c r="CL21" s="73">
        <f t="shared" si="15"/>
        <v>22.87682072451781</v>
      </c>
      <c r="CM21" s="355">
        <v>1</v>
      </c>
      <c r="CN21" s="84">
        <f t="shared" si="16"/>
        <v>4.2749999999999995</v>
      </c>
      <c r="CO21" s="78">
        <f t="shared" si="47"/>
        <v>9.8493837450082944E-2</v>
      </c>
      <c r="CP21" s="103">
        <f t="shared" si="48"/>
        <v>0.56508030915353935</v>
      </c>
      <c r="CQ21" s="71">
        <f t="shared" si="49"/>
        <v>10661.76</v>
      </c>
      <c r="CR21" s="71">
        <f t="shared" si="17"/>
        <v>7181.491486321449</v>
      </c>
      <c r="CS21" s="74">
        <f t="shared" si="18"/>
        <v>0.67357467119138381</v>
      </c>
      <c r="CT21" s="353">
        <f t="shared" si="19"/>
        <v>0.49011734664078455</v>
      </c>
      <c r="CU21" s="355">
        <f t="shared" si="50"/>
        <v>1.374310257528591</v>
      </c>
      <c r="CV21" s="76">
        <f t="shared" si="20"/>
        <v>0.93599999999999994</v>
      </c>
      <c r="CW21" s="74">
        <f t="shared" si="21"/>
        <v>19.87682072451781</v>
      </c>
      <c r="CX21" s="354">
        <v>1</v>
      </c>
      <c r="CY21" s="83">
        <f t="shared" si="51"/>
        <v>2.2586249999999999</v>
      </c>
      <c r="CZ21" s="79">
        <f t="shared" si="22"/>
        <v>6.518049768398862E-2</v>
      </c>
      <c r="DA21" s="112">
        <f t="shared" si="23"/>
        <v>4.0637817704512157E-2</v>
      </c>
      <c r="DB21" s="55">
        <f t="shared" si="24"/>
        <v>-6.0180723255630212E-3</v>
      </c>
      <c r="DC21" s="133">
        <f t="shared" si="25"/>
        <v>3.4619745378949136E-2</v>
      </c>
      <c r="DD21" s="133"/>
      <c r="DE21" s="378">
        <f t="shared" si="68"/>
        <v>12708.797970821079</v>
      </c>
      <c r="DF21" s="240">
        <f t="shared" si="26"/>
        <v>8896.1585795747542</v>
      </c>
      <c r="DG21" s="240">
        <f t="shared" si="69"/>
        <v>7681.0998797060984</v>
      </c>
      <c r="DH21" s="148">
        <f t="shared" si="70"/>
        <v>6569.4604596031913</v>
      </c>
      <c r="DI21" s="17">
        <f t="shared" si="53"/>
        <v>19278.25843042427</v>
      </c>
      <c r="DJ21" s="266">
        <f t="shared" si="54"/>
        <v>1686.1027136818047</v>
      </c>
      <c r="DK21" s="135">
        <f t="shared" si="27"/>
        <v>17592.155716742465</v>
      </c>
      <c r="DL21" s="244">
        <f>'Mite Immigration'!C29</f>
        <v>50</v>
      </c>
      <c r="DM21" s="137">
        <f t="shared" si="55"/>
        <v>-2640.7189709358363</v>
      </c>
      <c r="DN21" s="98">
        <f t="shared" si="63"/>
        <v>-2590.7189709358363</v>
      </c>
      <c r="DO21" s="265">
        <f t="shared" si="28"/>
        <v>15001.43674580663</v>
      </c>
      <c r="DP21" s="393">
        <f>FA$32</f>
        <v>0.95</v>
      </c>
      <c r="DQ21" s="135">
        <f t="shared" si="56"/>
        <v>14251.364908516298</v>
      </c>
      <c r="DR21" s="95">
        <f t="shared" si="29"/>
        <v>750.07183729033204</v>
      </c>
      <c r="DS21" s="29">
        <f t="shared" si="30"/>
        <v>-0.18607435405245332</v>
      </c>
      <c r="DT21" s="271">
        <f t="shared" si="31"/>
        <v>40801</v>
      </c>
      <c r="DU21" s="89">
        <f t="shared" si="32"/>
        <v>5036.2643315887626</v>
      </c>
      <c r="DV21" s="29">
        <f t="shared" si="33"/>
        <v>0.15738326036214884</v>
      </c>
      <c r="DW21" s="145">
        <f t="shared" si="34"/>
        <v>49.575727014076882</v>
      </c>
      <c r="DX21" t="str">
        <f t="shared" si="64"/>
        <v/>
      </c>
      <c r="DY21" t="str">
        <f t="shared" si="65"/>
        <v/>
      </c>
      <c r="EA21">
        <f t="shared" si="67"/>
        <v>0</v>
      </c>
      <c r="EB21" s="17">
        <f t="shared" si="57"/>
        <v>10778.90625</v>
      </c>
      <c r="EC21" s="18">
        <f t="shared" si="58"/>
        <v>-6000</v>
      </c>
      <c r="ED21" s="264">
        <f t="shared" si="59"/>
        <v>16778.90625</v>
      </c>
      <c r="EE21" s="264">
        <f t="shared" si="66"/>
        <v>1103.2705479452054</v>
      </c>
      <c r="EF21" s="104">
        <f t="shared" si="60"/>
        <v>1</v>
      </c>
      <c r="EG21" s="263">
        <f t="shared" si="61"/>
        <v>2640.7189709358363</v>
      </c>
      <c r="EI21" s="17">
        <f t="shared" si="62"/>
        <v>6569.4604596031913</v>
      </c>
      <c r="EJ21" s="164">
        <f>FA$57</f>
        <v>3765.4091074814924</v>
      </c>
      <c r="EK21" s="37">
        <f>EZ$59</f>
        <v>0.15364618481996453</v>
      </c>
      <c r="EO21" s="2">
        <v>40801</v>
      </c>
      <c r="EP21" s="259">
        <v>43174</v>
      </c>
      <c r="ES21">
        <v>19.53</v>
      </c>
    </row>
    <row r="22" spans="1:163" ht="12.65" customHeight="1" x14ac:dyDescent="0.3">
      <c r="B22" s="396" t="s">
        <v>345</v>
      </c>
      <c r="C22" s="402">
        <v>100</v>
      </c>
      <c r="D22" s="414">
        <f>IF('Current version'!$BA5=0,"",'Current version'!$BA5)</f>
        <v>92.660083310629844</v>
      </c>
      <c r="E22" s="414">
        <f>IF('Current version'!$BA6=0,"",'Current version'!$BA6)</f>
        <v>100.32108346182575</v>
      </c>
      <c r="F22" s="414">
        <f>IF('Current version'!$BA7=0,"",'Current version'!$BA7)</f>
        <v>124.42065763678137</v>
      </c>
      <c r="G22" s="414">
        <f>IF('Current version'!$BA8=0,"",'Current version'!$BA8)</f>
        <v>158.6749522648</v>
      </c>
      <c r="H22" s="414">
        <f>IF('Current version'!$BA9=0,"",'Current version'!$BA9)</f>
        <v>207.31874147378301</v>
      </c>
      <c r="I22" s="414">
        <f>BA10</f>
        <v>290.81656510245006</v>
      </c>
      <c r="J22" s="414">
        <f>'Current version'!BA11</f>
        <v>452.92362735867829</v>
      </c>
      <c r="K22" s="414">
        <f>'Current version'!BA12</f>
        <v>713.39264021710289</v>
      </c>
      <c r="L22" s="414">
        <f>'Current version'!BA13</f>
        <v>1110.8045936095737</v>
      </c>
      <c r="M22" s="414">
        <f>'Current version'!BA14</f>
        <v>1674.9196894065412</v>
      </c>
      <c r="N22" s="414">
        <f>'Current version'!BA15</f>
        <v>2452.4498287807787</v>
      </c>
      <c r="O22" s="414">
        <f>'Current version'!BA16</f>
        <v>3447.3164353810098</v>
      </c>
      <c r="P22" s="414">
        <f>'Current version'!BA17</f>
        <v>4732.0953322384485</v>
      </c>
      <c r="Q22" s="414">
        <f>'Current version'!BA18</f>
        <v>6273.0586853530467</v>
      </c>
      <c r="R22" s="414">
        <f>'Current version'!BA19</f>
        <v>8204.7437386185684</v>
      </c>
      <c r="S22" s="414">
        <f>'Current version'!BA20</f>
        <v>10381.700433624948</v>
      </c>
      <c r="T22" s="414">
        <f>'Current version'!BA21</f>
        <v>12708.797970821079</v>
      </c>
      <c r="U22" s="414">
        <f>'Current version'!BA22</f>
        <v>750.07183729033204</v>
      </c>
      <c r="V22" s="414">
        <f>'Current version'!BA23</f>
        <v>885.99682272861855</v>
      </c>
      <c r="W22" s="414">
        <f>'Current version'!BA24</f>
        <v>918.38648299910312</v>
      </c>
      <c r="X22" s="414">
        <f>'Current version'!BA25</f>
        <v>625.16132746302333</v>
      </c>
      <c r="Y22" s="414">
        <f>'Current version'!BA26</f>
        <v>557.19538900908242</v>
      </c>
      <c r="Z22" s="414">
        <f>'Current version'!BA27</f>
        <v>506.15301983702579</v>
      </c>
      <c r="AA22" s="415">
        <f>'Current version'!BA28</f>
        <v>459.49845079557696</v>
      </c>
      <c r="AB22" s="577"/>
      <c r="AC22" s="577"/>
      <c r="AE22" s="291"/>
      <c r="AF22" s="291"/>
      <c r="AZ22" s="406">
        <f t="shared" si="35"/>
        <v>40817</v>
      </c>
      <c r="BA22" s="59">
        <f t="shared" si="0"/>
        <v>750.07183729033204</v>
      </c>
      <c r="BB22" s="301">
        <f t="shared" si="36"/>
        <v>1.095086331066358E-2</v>
      </c>
      <c r="BC22" s="233">
        <f t="shared" si="1"/>
        <v>30</v>
      </c>
      <c r="BD22" s="123">
        <f t="shared" si="37"/>
        <v>3.7702108613275152</v>
      </c>
      <c r="BE22" s="4">
        <f t="shared" si="2"/>
        <v>6.9848844617518613E-2</v>
      </c>
      <c r="BF22" s="3">
        <f t="shared" si="3"/>
        <v>0.47871108236240284</v>
      </c>
      <c r="BG22" s="520"/>
      <c r="BH22" s="496"/>
      <c r="BI22" s="496"/>
      <c r="BJ22" s="496"/>
      <c r="BK22" s="496"/>
      <c r="BL22" s="496"/>
      <c r="BN22" s="511"/>
      <c r="BO22" s="271">
        <f t="shared" si="38"/>
        <v>40817</v>
      </c>
      <c r="BP22" s="376">
        <f>IF($AZ$31="d",'Colony Type'!H49,IF($AZ$31="n",'Colony Type'!H77,IF($AZ$31="p",'Colony Type'!H105,IF($AZ$31="a",'Colony Type'!H133,IF($AZ$31="b",'Colony Type'!H161,IF($AZ$31="c",'Colony Type'!H189,IF($AZ$31="r",'Colony Type'!H217,IF($AZ$31="s",'Colony Type'!H245,IF($AZ$31="f",'Colony Type'!H273,"error")))))))))</f>
        <v>15</v>
      </c>
      <c r="BQ22">
        <f t="shared" si="4"/>
        <v>30000</v>
      </c>
      <c r="BR22" s="81">
        <f>IF($AZ$31="d",'Colony Type'!F49,IF($AZ$31="n",'Colony Type'!F77,IF($AZ$31="p",'Colony Type'!F105,IF($AZ$31="a",'Colony Type'!F133,IF($AZ$31="b",'Colony Type'!F161,IF($AZ$31="c",'Colony Type'!F189,IF($AZ$31="r",'Colony Type'!F217,IF($AZ$31="s",'Colony Type'!F245,IF($AZ$31="f",'Colony Type'!F273,"error")))))))))</f>
        <v>2</v>
      </c>
      <c r="BS22" s="17">
        <f t="shared" si="5"/>
        <v>9000</v>
      </c>
      <c r="BT22" s="21">
        <f t="shared" si="6"/>
        <v>0.3</v>
      </c>
      <c r="BU22">
        <f t="shared" si="39"/>
        <v>5400</v>
      </c>
      <c r="BV22" s="18">
        <f t="shared" si="40"/>
        <v>377.18376093460051</v>
      </c>
      <c r="BW22" s="18">
        <f t="shared" si="7"/>
        <v>450</v>
      </c>
      <c r="BX22" s="141">
        <f t="shared" si="41"/>
        <v>11.019864021629679</v>
      </c>
      <c r="BY22" s="27">
        <f t="shared" si="8"/>
        <v>23.019864021629679</v>
      </c>
      <c r="BZ22" s="32">
        <f t="shared" si="9"/>
        <v>0.47871108236240284</v>
      </c>
      <c r="CA22" s="130">
        <f t="shared" si="10"/>
        <v>0.52128891763759722</v>
      </c>
      <c r="CB22" s="28">
        <f t="shared" si="11"/>
        <v>391.00413621152114</v>
      </c>
      <c r="CC22" s="255">
        <f t="shared" si="12"/>
        <v>5400</v>
      </c>
      <c r="CD22" s="80">
        <f>IF($AZ$31="d",'Colony Type'!J49,IF($AZ$31="n",'Colony Type'!J77,IF($AZ$31="p",'Colony Type'!J105,IF($AZ$31="a",'Colony Type'!J133,IF($AZ$31="b",'Colony Type'!J161,IF($AZ$31="c",'Colony Type'!J189,IF($AZ$31="r",'Colony Type'!J217,IF($AZ$31="s",'Colony Type'!J217,IF($AZ$31="f",'Colony Type'!J273,"error")))))))))</f>
        <v>0</v>
      </c>
      <c r="CE22" s="106">
        <f t="shared" si="42"/>
        <v>0</v>
      </c>
      <c r="CF22" s="75">
        <f t="shared" si="43"/>
        <v>0</v>
      </c>
      <c r="CG22" s="102">
        <f t="shared" si="44"/>
        <v>0</v>
      </c>
      <c r="CH22" s="72">
        <f t="shared" si="13"/>
        <v>0</v>
      </c>
      <c r="CI22" s="73">
        <f t="shared" si="45"/>
        <v>0</v>
      </c>
      <c r="CJ22" s="356">
        <f t="shared" si="14"/>
        <v>0</v>
      </c>
      <c r="CK22" s="357">
        <f t="shared" si="46"/>
        <v>0</v>
      </c>
      <c r="CL22" s="73">
        <f t="shared" si="15"/>
        <v>26.019864021629679</v>
      </c>
      <c r="CM22" s="355">
        <v>1</v>
      </c>
      <c r="CN22" s="84">
        <f t="shared" si="16"/>
        <v>4.2749999999999995</v>
      </c>
      <c r="CO22" s="78">
        <f t="shared" si="47"/>
        <v>9.8493837450082944E-2</v>
      </c>
      <c r="CP22" s="103">
        <f t="shared" si="48"/>
        <v>0.52128891763759722</v>
      </c>
      <c r="CQ22" s="71">
        <f t="shared" si="49"/>
        <v>5400</v>
      </c>
      <c r="CR22" s="71">
        <f t="shared" si="17"/>
        <v>391.00413621152114</v>
      </c>
      <c r="CS22" s="74">
        <f t="shared" si="18"/>
        <v>7.2408173372503909E-2</v>
      </c>
      <c r="CT22" s="353">
        <f t="shared" si="19"/>
        <v>6.9848844617518613E-2</v>
      </c>
      <c r="CU22" s="355">
        <f t="shared" si="50"/>
        <v>1.0366261194852202</v>
      </c>
      <c r="CV22" s="76">
        <f t="shared" si="20"/>
        <v>1</v>
      </c>
      <c r="CW22" s="74">
        <f t="shared" si="21"/>
        <v>23.019864021629679</v>
      </c>
      <c r="CX22" s="354">
        <v>1</v>
      </c>
      <c r="CY22" s="83">
        <f t="shared" si="51"/>
        <v>2.2586249999999999</v>
      </c>
      <c r="CZ22" s="79">
        <f t="shared" si="22"/>
        <v>6.518049768398862E-2</v>
      </c>
      <c r="DA22" s="112">
        <f t="shared" si="23"/>
        <v>3.3977871088766341E-2</v>
      </c>
      <c r="DB22" s="55">
        <f t="shared" si="24"/>
        <v>-6.0180723255630212E-3</v>
      </c>
      <c r="DC22" s="133">
        <f t="shared" si="25"/>
        <v>2.7959798763203321E-2</v>
      </c>
      <c r="DD22" s="133"/>
      <c r="DE22" s="378">
        <f t="shared" si="68"/>
        <v>750.07183729033204</v>
      </c>
      <c r="DF22" s="240">
        <f t="shared" si="26"/>
        <v>525.05028610323245</v>
      </c>
      <c r="DG22" s="240">
        <f t="shared" si="69"/>
        <v>444.37831280483994</v>
      </c>
      <c r="DH22" s="148">
        <f t="shared" si="70"/>
        <v>300.6506135743652</v>
      </c>
      <c r="DI22" s="17">
        <f t="shared" si="53"/>
        <v>1050.7224508646973</v>
      </c>
      <c r="DJ22" s="266">
        <f t="shared" si="54"/>
        <v>91.897615239634206</v>
      </c>
      <c r="DK22" s="135">
        <f t="shared" si="27"/>
        <v>958.82483562506309</v>
      </c>
      <c r="DL22" s="244">
        <f>'Mite Immigration'!C30</f>
        <v>30</v>
      </c>
      <c r="DM22" s="137">
        <f t="shared" si="55"/>
        <v>-102.82801289644449</v>
      </c>
      <c r="DN22" s="98">
        <f t="shared" si="63"/>
        <v>-72.828012896444491</v>
      </c>
      <c r="DO22" s="265">
        <f t="shared" si="28"/>
        <v>885.99682272861855</v>
      </c>
      <c r="DP22" s="393">
        <f>FB$32</f>
        <v>0</v>
      </c>
      <c r="DQ22" s="135">
        <f t="shared" si="56"/>
        <v>0</v>
      </c>
      <c r="DR22" s="95">
        <f t="shared" si="29"/>
        <v>885.99682272861855</v>
      </c>
      <c r="DS22" s="29">
        <f t="shared" si="30"/>
        <v>1.095086331066358E-2</v>
      </c>
      <c r="DT22" s="271">
        <f t="shared" si="31"/>
        <v>40817</v>
      </c>
      <c r="DU22" s="89">
        <f t="shared" si="32"/>
        <v>359.06770107881096</v>
      </c>
      <c r="DV22" s="29">
        <f t="shared" si="33"/>
        <v>1.1968923369293699E-2</v>
      </c>
      <c r="DW22" s="145">
        <f t="shared" si="34"/>
        <v>3.7702108613275152</v>
      </c>
      <c r="DX22" t="str">
        <f t="shared" si="64"/>
        <v/>
      </c>
      <c r="DY22" t="str">
        <f t="shared" si="65"/>
        <v/>
      </c>
      <c r="EA22">
        <f t="shared" si="67"/>
        <v>0</v>
      </c>
      <c r="EB22" s="17">
        <f t="shared" si="57"/>
        <v>12318.75</v>
      </c>
      <c r="EC22" s="18">
        <f t="shared" si="58"/>
        <v>-2000</v>
      </c>
      <c r="ED22" s="264">
        <f t="shared" si="59"/>
        <v>14318.75</v>
      </c>
      <c r="EE22" s="264">
        <f t="shared" si="66"/>
        <v>941.50684931506851</v>
      </c>
      <c r="EF22" s="104">
        <f t="shared" si="60"/>
        <v>0.6</v>
      </c>
      <c r="EG22" s="263">
        <f t="shared" si="61"/>
        <v>102.82801289644449</v>
      </c>
      <c r="EI22" s="17">
        <f t="shared" si="62"/>
        <v>300.6506135743652</v>
      </c>
      <c r="EJ22" s="164">
        <f>FB$57</f>
        <v>253.85933684017471</v>
      </c>
      <c r="EK22" s="37">
        <f>FA$59</f>
        <v>0.16622334919214848</v>
      </c>
      <c r="EO22" s="2">
        <v>40817</v>
      </c>
      <c r="EP22" s="259">
        <v>43191</v>
      </c>
    </row>
    <row r="23" spans="1:163" ht="12.65" customHeight="1" x14ac:dyDescent="0.3">
      <c r="B23" s="409" t="s">
        <v>347</v>
      </c>
      <c r="C23" s="410">
        <v>1</v>
      </c>
      <c r="D23" s="411">
        <f>'Current version'!BC5</f>
        <v>0</v>
      </c>
      <c r="E23" s="411">
        <f>'Current version'!BC6</f>
        <v>0</v>
      </c>
      <c r="F23" s="411">
        <f>'Current version'!BC7</f>
        <v>0</v>
      </c>
      <c r="G23" s="411">
        <f>'Current version'!BC8</f>
        <v>0</v>
      </c>
      <c r="H23" s="411">
        <f>'Current version'!BC9</f>
        <v>0</v>
      </c>
      <c r="I23" s="411">
        <f>'Current version'!BC10</f>
        <v>0</v>
      </c>
      <c r="J23" s="411">
        <f>'Current version'!BC11</f>
        <v>0</v>
      </c>
      <c r="K23" s="411">
        <f>'Current version'!BC12</f>
        <v>0</v>
      </c>
      <c r="L23" s="411">
        <f>'Current version'!BC13</f>
        <v>0</v>
      </c>
      <c r="M23" s="411">
        <f>'Current version'!BC14</f>
        <v>2</v>
      </c>
      <c r="N23" s="411">
        <f>'Current version'!BC15</f>
        <v>3</v>
      </c>
      <c r="O23" s="411">
        <f>'Current version'!BC16</f>
        <v>5</v>
      </c>
      <c r="P23" s="411">
        <f>'Current version'!BC17</f>
        <v>10</v>
      </c>
      <c r="Q23" s="411">
        <f>'Current version'!BC18</f>
        <v>15</v>
      </c>
      <c r="R23" s="411">
        <f>'Current version'!BC19</f>
        <v>30</v>
      </c>
      <c r="S23" s="411">
        <f>'Current version'!BC20</f>
        <v>40</v>
      </c>
      <c r="T23" s="411">
        <f>'Current version'!BC21</f>
        <v>50</v>
      </c>
      <c r="U23" s="411">
        <f>'Current version'!BC22</f>
        <v>30</v>
      </c>
      <c r="V23" s="411">
        <f>'Current version'!BC23</f>
        <v>10</v>
      </c>
      <c r="W23" s="411">
        <f>'Current version'!BC24</f>
        <v>5</v>
      </c>
      <c r="X23" s="411">
        <f>'Current version'!BC25</f>
        <v>0</v>
      </c>
      <c r="Y23" s="411">
        <f>'Current version'!BC26</f>
        <v>0</v>
      </c>
      <c r="Z23" s="425">
        <f>SUM(D23:Y23)</f>
        <v>200</v>
      </c>
      <c r="AA23" s="426" t="s">
        <v>361</v>
      </c>
      <c r="AB23" s="577"/>
      <c r="AC23" s="577"/>
      <c r="AD23">
        <v>4</v>
      </c>
      <c r="AE23" s="291"/>
      <c r="AF23" s="291"/>
      <c r="AZ23" s="406">
        <f t="shared" si="35"/>
        <v>40831</v>
      </c>
      <c r="BA23" s="59">
        <f t="shared" si="0"/>
        <v>885.99682272861855</v>
      </c>
      <c r="BB23" s="301">
        <f t="shared" si="36"/>
        <v>2.3608729614009549E-3</v>
      </c>
      <c r="BC23" s="233">
        <f t="shared" si="1"/>
        <v>10</v>
      </c>
      <c r="BD23" s="123">
        <f t="shared" si="37"/>
        <v>6.7893981355199688</v>
      </c>
      <c r="BE23" s="4">
        <f t="shared" si="2"/>
        <v>0.23899704180348957</v>
      </c>
      <c r="BF23" s="3">
        <f t="shared" si="3"/>
        <v>0.58384800455480101</v>
      </c>
      <c r="BG23" s="519" t="s">
        <v>379</v>
      </c>
      <c r="BH23" s="549" t="s">
        <v>380</v>
      </c>
      <c r="BI23" s="550"/>
      <c r="BJ23" s="550"/>
      <c r="BK23" s="550"/>
      <c r="BL23" s="551"/>
      <c r="BN23" s="511"/>
      <c r="BO23" s="271">
        <f t="shared" si="38"/>
        <v>40831</v>
      </c>
      <c r="BP23" s="376">
        <f>IF($AZ$31="d",'Colony Type'!H50,IF($AZ$31="n",'Colony Type'!H78,IF($AZ$31="p",'Colony Type'!H106,IF($AZ$31="a",'Colony Type'!H134,IF($AZ$31="b",'Colony Type'!H162,IF($AZ$31="c",'Colony Type'!H190,IF($AZ$31="r",'Colony Type'!H218,IF($AZ$31="s",'Colony Type'!H246,IF($AZ$31="f",'Colony Type'!H274,"error")))))))))</f>
        <v>12</v>
      </c>
      <c r="BQ23">
        <f t="shared" si="4"/>
        <v>24000</v>
      </c>
      <c r="BR23" s="81">
        <f>IF($AZ$31="d",'Colony Type'!F50,IF($AZ$31="n",'Colony Type'!F78,IF($AZ$31="p",'Colony Type'!F106,IF($AZ$31="a",'Colony Type'!F134,IF($AZ$31="b",'Colony Type'!F162,IF($AZ$31="c",'Colony Type'!F190,IF($AZ$31="r",'Colony Type'!F218,IF($AZ$31="s",'Colony Type'!F246,IF($AZ$31="f",'Colony Type'!F274,"error")))))))))</f>
        <v>0.5</v>
      </c>
      <c r="BS23" s="17">
        <f t="shared" si="5"/>
        <v>2250</v>
      </c>
      <c r="BT23" s="21">
        <f t="shared" si="6"/>
        <v>9.375E-2</v>
      </c>
      <c r="BU23">
        <f t="shared" si="39"/>
        <v>1350</v>
      </c>
      <c r="BV23" s="18">
        <f t="shared" si="40"/>
        <v>322.6460064347109</v>
      </c>
      <c r="BW23" s="18">
        <f t="shared" si="7"/>
        <v>112.5</v>
      </c>
      <c r="BX23" s="141">
        <f t="shared" si="41"/>
        <v>16.835618070658086</v>
      </c>
      <c r="BY23" s="27">
        <f t="shared" si="8"/>
        <v>28.835618070658086</v>
      </c>
      <c r="BZ23" s="32">
        <f t="shared" si="9"/>
        <v>0.58384800455480101</v>
      </c>
      <c r="CA23" s="130">
        <f t="shared" si="10"/>
        <v>0.41615199544519899</v>
      </c>
      <c r="CB23" s="28">
        <f t="shared" si="11"/>
        <v>368.70934573662083</v>
      </c>
      <c r="CC23" s="255">
        <f t="shared" si="12"/>
        <v>1350</v>
      </c>
      <c r="CD23" s="80">
        <f>IF($AZ$31="d",'Colony Type'!J50,IF($AZ$31="n",'Colony Type'!J78,IF($AZ$31="p",'Colony Type'!J106,IF($AZ$31="a",'Colony Type'!J134,IF($AZ$31="b",'Colony Type'!J162,IF($AZ$31="c",'Colony Type'!J190,IF($AZ$31="r",'Colony Type'!J218,IF($AZ$31="s",'Colony Type'!J218,IF($AZ$31="f",'Colony Type'!J274,"error")))))))))</f>
        <v>0</v>
      </c>
      <c r="CE23" s="106">
        <f t="shared" si="42"/>
        <v>0</v>
      </c>
      <c r="CF23" s="75">
        <f t="shared" si="43"/>
        <v>0</v>
      </c>
      <c r="CG23" s="102">
        <f t="shared" si="44"/>
        <v>0</v>
      </c>
      <c r="CH23" s="72">
        <f t="shared" si="13"/>
        <v>0</v>
      </c>
      <c r="CI23" s="73">
        <f t="shared" si="45"/>
        <v>0</v>
      </c>
      <c r="CJ23" s="356">
        <f t="shared" si="14"/>
        <v>0</v>
      </c>
      <c r="CK23" s="357">
        <f t="shared" si="46"/>
        <v>0</v>
      </c>
      <c r="CL23" s="73">
        <f t="shared" si="15"/>
        <v>31.835618070658086</v>
      </c>
      <c r="CM23" s="355">
        <v>1</v>
      </c>
      <c r="CN23" s="84">
        <f t="shared" si="16"/>
        <v>4.2749999999999995</v>
      </c>
      <c r="CO23" s="78">
        <f t="shared" si="47"/>
        <v>9.8493837450082944E-2</v>
      </c>
      <c r="CP23" s="103">
        <f t="shared" si="48"/>
        <v>0.41615199544519899</v>
      </c>
      <c r="CQ23" s="71">
        <f t="shared" si="49"/>
        <v>1350</v>
      </c>
      <c r="CR23" s="71">
        <f t="shared" si="17"/>
        <v>368.70934573662083</v>
      </c>
      <c r="CS23" s="74">
        <f t="shared" si="18"/>
        <v>0.27311803387897837</v>
      </c>
      <c r="CT23" s="353">
        <f t="shared" si="19"/>
        <v>0.23899704180348957</v>
      </c>
      <c r="CU23" s="355">
        <f t="shared" si="50"/>
        <v>1.1427626428150535</v>
      </c>
      <c r="CV23" s="76">
        <f t="shared" si="20"/>
        <v>1</v>
      </c>
      <c r="CW23" s="74">
        <f t="shared" si="21"/>
        <v>28.835618070658086</v>
      </c>
      <c r="CX23" s="354">
        <v>1</v>
      </c>
      <c r="CY23" s="83">
        <f t="shared" si="51"/>
        <v>2.2586249999999999</v>
      </c>
      <c r="CZ23" s="79">
        <f t="shared" si="22"/>
        <v>6.518049768398862E-2</v>
      </c>
      <c r="DA23" s="112">
        <f t="shared" si="23"/>
        <v>2.7124994175303035E-2</v>
      </c>
      <c r="DB23" s="55">
        <f t="shared" si="24"/>
        <v>-5.0125418235442863E-3</v>
      </c>
      <c r="DC23" s="133">
        <f t="shared" si="25"/>
        <v>2.2112452351758748E-2</v>
      </c>
      <c r="DD23" s="133"/>
      <c r="DE23" s="378">
        <f t="shared" si="68"/>
        <v>885.99682272861855</v>
      </c>
      <c r="DF23" s="240">
        <f t="shared" si="26"/>
        <v>620.19777591003299</v>
      </c>
      <c r="DG23" s="240">
        <f t="shared" si="69"/>
        <v>517.10642443674567</v>
      </c>
      <c r="DH23" s="148">
        <f t="shared" si="70"/>
        <v>264.04940571632642</v>
      </c>
      <c r="DI23" s="17">
        <f t="shared" si="53"/>
        <v>1150.046228444945</v>
      </c>
      <c r="DJ23" s="266">
        <f t="shared" si="54"/>
        <v>84.412435057102584</v>
      </c>
      <c r="DK23" s="135">
        <f t="shared" si="27"/>
        <v>1065.6337933878424</v>
      </c>
      <c r="DL23" s="244">
        <f>'Mite Immigration'!C31</f>
        <v>10</v>
      </c>
      <c r="DM23" s="137">
        <f t="shared" si="55"/>
        <v>-157.24731038873929</v>
      </c>
      <c r="DN23" s="98">
        <f t="shared" si="63"/>
        <v>-147.24731038873929</v>
      </c>
      <c r="DO23" s="265">
        <f t="shared" si="28"/>
        <v>918.38648299910312</v>
      </c>
      <c r="DP23" s="393">
        <f>FC$32</f>
        <v>0</v>
      </c>
      <c r="DQ23" s="135">
        <f t="shared" si="56"/>
        <v>0</v>
      </c>
      <c r="DR23" s="95">
        <f t="shared" si="29"/>
        <v>918.38648299910312</v>
      </c>
      <c r="DS23" s="29">
        <f t="shared" si="30"/>
        <v>2.3608729614009549E-3</v>
      </c>
      <c r="DT23" s="271">
        <f t="shared" si="31"/>
        <v>40831</v>
      </c>
      <c r="DU23" s="89">
        <f t="shared" si="32"/>
        <v>517.28747699199766</v>
      </c>
      <c r="DV23" s="29">
        <f t="shared" si="33"/>
        <v>2.1553644874666569E-2</v>
      </c>
      <c r="DW23" s="145">
        <f t="shared" si="34"/>
        <v>6.7893981355199688</v>
      </c>
      <c r="DX23" t="str">
        <f t="shared" si="64"/>
        <v/>
      </c>
      <c r="DY23" t="str">
        <f t="shared" si="65"/>
        <v/>
      </c>
      <c r="EA23">
        <f t="shared" si="67"/>
        <v>0</v>
      </c>
      <c r="EB23" s="17">
        <f t="shared" si="57"/>
        <v>6159.375</v>
      </c>
      <c r="EC23" s="18">
        <f t="shared" si="58"/>
        <v>-6000</v>
      </c>
      <c r="ED23" s="264">
        <f t="shared" si="59"/>
        <v>12159.375</v>
      </c>
      <c r="EE23" s="264">
        <f t="shared" si="66"/>
        <v>799.52054794520541</v>
      </c>
      <c r="EF23" s="104">
        <f t="shared" si="60"/>
        <v>0.6</v>
      </c>
      <c r="EG23" s="263">
        <f t="shared" si="61"/>
        <v>157.24731038873929</v>
      </c>
      <c r="EI23" s="17">
        <f t="shared" si="62"/>
        <v>264.04940571632642</v>
      </c>
      <c r="EJ23" s="164">
        <f>FC$57</f>
        <v>335.85205327993339</v>
      </c>
      <c r="EK23" s="37">
        <f>FB$59</f>
        <v>0.19008264118780643</v>
      </c>
      <c r="EO23" s="2">
        <v>40831</v>
      </c>
      <c r="EP23" s="259">
        <v>43205</v>
      </c>
      <c r="ES23">
        <v>25.83</v>
      </c>
    </row>
    <row r="24" spans="1:163" ht="12.75" customHeight="1" x14ac:dyDescent="0.3">
      <c r="B24" s="349" t="s">
        <v>94</v>
      </c>
      <c r="C24" s="416" t="s">
        <v>374</v>
      </c>
      <c r="D24" s="416">
        <f>1-'Current version'!BF5</f>
        <v>0.39637935950910275</v>
      </c>
      <c r="E24" s="416">
        <f>1-'Current version'!BF6</f>
        <v>0.41542803120999716</v>
      </c>
      <c r="F24" s="416">
        <f>1-'Current version'!BF7</f>
        <v>0.49765046718327932</v>
      </c>
      <c r="G24" s="416">
        <f>1-'Current version'!BF8</f>
        <v>0.52921954133048477</v>
      </c>
      <c r="H24" s="416">
        <f>1-'Current version'!BF9</f>
        <v>0.65081532324296698</v>
      </c>
      <c r="I24" s="416">
        <f>1-'Current version'!BF10</f>
        <v>0.73121308739562751</v>
      </c>
      <c r="J24" s="416">
        <f>1-'Current version'!BF11</f>
        <v>0.78455129248541799</v>
      </c>
      <c r="K24" s="416">
        <f>1-'Current version'!BF12</f>
        <v>0.75112537656379341</v>
      </c>
      <c r="L24" s="416">
        <f>1-'Current version'!BF13</f>
        <v>0.70066491185305146</v>
      </c>
      <c r="M24" s="416">
        <f>1-'Current version'!BF14</f>
        <v>0.6689711582295691</v>
      </c>
      <c r="N24" s="416">
        <f>1-'Current version'!BF15</f>
        <v>0.63020078776056976</v>
      </c>
      <c r="O24" s="416">
        <f>1-'Current version'!BF16</f>
        <v>0.60371827901019159</v>
      </c>
      <c r="P24" s="416">
        <f>1-'Current version'!BF17</f>
        <v>0.57163167812269144</v>
      </c>
      <c r="Q24" s="416">
        <f>1-'Current version'!BF18</f>
        <v>0.55763789267006758</v>
      </c>
      <c r="R24" s="416">
        <f>1-'Current version'!BF19</f>
        <v>0.55894312923756839</v>
      </c>
      <c r="S24" s="416">
        <f>1-'Current version'!BF20</f>
        <v>0.56064996971063963</v>
      </c>
      <c r="T24" s="416">
        <f>1-'Current version'!BF21</f>
        <v>0.60371827901019159</v>
      </c>
      <c r="U24" s="416">
        <f>1-'Current version'!BF22</f>
        <v>0.52128891763759722</v>
      </c>
      <c r="V24" s="416">
        <f>1-'Current version'!BF23</f>
        <v>0.41615199544519899</v>
      </c>
      <c r="W24" s="416">
        <f>1-'Current version'!BF24</f>
        <v>0</v>
      </c>
      <c r="X24" s="416">
        <f>1-'Current version'!BF25</f>
        <v>0</v>
      </c>
      <c r="Y24" s="416">
        <f>1-'Current version'!BF26</f>
        <v>0</v>
      </c>
      <c r="Z24" s="416">
        <f>1-'Current version'!BF27</f>
        <v>0</v>
      </c>
      <c r="AA24" s="417">
        <f>1-'Current version'!BF28</f>
        <v>0</v>
      </c>
      <c r="AB24" s="577"/>
      <c r="AC24" s="577"/>
      <c r="AE24" s="291"/>
      <c r="AF24" s="291"/>
      <c r="AG24" s="563" t="s">
        <v>207</v>
      </c>
      <c r="AH24" s="563"/>
      <c r="AI24" s="563"/>
      <c r="AJ24" s="563"/>
      <c r="AK24" s="563"/>
      <c r="AL24" s="563"/>
      <c r="AM24" s="563"/>
      <c r="AN24" s="563"/>
      <c r="AO24" s="563"/>
      <c r="AP24" s="563"/>
      <c r="AQ24" s="563"/>
      <c r="AR24" s="563"/>
      <c r="AS24" s="563"/>
      <c r="AT24" s="563"/>
      <c r="AU24" s="563"/>
      <c r="AV24" s="564"/>
      <c r="AW24" s="565">
        <f>LN(BA21/BA11)/(AZ21-AZ11)</f>
        <v>2.1792982143589483E-2</v>
      </c>
      <c r="AX24" s="565"/>
      <c r="AZ24" s="406">
        <f t="shared" si="35"/>
        <v>40848</v>
      </c>
      <c r="BA24" s="59">
        <f t="shared" si="0"/>
        <v>918.38648299910312</v>
      </c>
      <c r="BB24" s="301">
        <f t="shared" si="36"/>
        <v>-2.5289330439401018E-2</v>
      </c>
      <c r="BC24" s="233">
        <f t="shared" si="1"/>
        <v>5</v>
      </c>
      <c r="BD24" s="123">
        <f t="shared" si="37"/>
        <v>16.071763452484305</v>
      </c>
      <c r="BE24" s="4" t="str">
        <f t="shared" si="2"/>
        <v>n/a</v>
      </c>
      <c r="BF24" s="3">
        <f t="shared" si="3"/>
        <v>1</v>
      </c>
      <c r="BG24" s="520"/>
      <c r="BH24" s="552"/>
      <c r="BI24" s="553"/>
      <c r="BJ24" s="553"/>
      <c r="BK24" s="553"/>
      <c r="BL24" s="554"/>
      <c r="BN24" s="511"/>
      <c r="BO24" s="271">
        <f t="shared" si="38"/>
        <v>40848</v>
      </c>
      <c r="BP24" s="376">
        <f>IF($AZ$31="d",'Colony Type'!H51,IF($AZ$31="n",'Colony Type'!H79,IF($AZ$31="p",'Colony Type'!H107,IF($AZ$31="a",'Colony Type'!H135,IF($AZ$31="b",'Colony Type'!H163,IF($AZ$31="c",'Colony Type'!H191,IF($AZ$31="r",'Colony Type'!H219,IF($AZ$31="s",'Colony Type'!H247,IF($AZ$31="f",'Colony Type'!H275,"error")))))))))</f>
        <v>9</v>
      </c>
      <c r="BQ24">
        <f t="shared" si="4"/>
        <v>18000</v>
      </c>
      <c r="BR24" s="81">
        <f>IF($AZ$31="d",'Colony Type'!F51,IF($AZ$31="n",'Colony Type'!F79,IF($AZ$31="p",'Colony Type'!F107,IF($AZ$31="a",'Colony Type'!F135,IF($AZ$31="b",'Colony Type'!F163,IF($AZ$31="c",'Colony Type'!F191,IF($AZ$31="r",'Colony Type'!F219,IF($AZ$31="s",'Colony Type'!F247,IF($AZ$31="f",'Colony Type'!F275,"error")))))))))</f>
        <v>0</v>
      </c>
      <c r="BS24" s="17">
        <f t="shared" si="5"/>
        <v>1</v>
      </c>
      <c r="BT24" s="21">
        <f t="shared" si="6"/>
        <v>5.5555555555555558E-5</v>
      </c>
      <c r="BU24">
        <f t="shared" si="39"/>
        <v>0.6</v>
      </c>
      <c r="BV24" s="18">
        <f t="shared" si="40"/>
        <v>0</v>
      </c>
      <c r="BW24" s="18">
        <f t="shared" si="7"/>
        <v>0.05</v>
      </c>
      <c r="BX24" s="141">
        <f t="shared" si="41"/>
        <v>53.990635184391508</v>
      </c>
      <c r="BY24" s="27">
        <f t="shared" si="8"/>
        <v>65.990635184391508</v>
      </c>
      <c r="BZ24" s="32">
        <f t="shared" si="9"/>
        <v>1</v>
      </c>
      <c r="CA24" s="130">
        <f t="shared" si="10"/>
        <v>0</v>
      </c>
      <c r="CB24" s="28">
        <f t="shared" si="11"/>
        <v>0</v>
      </c>
      <c r="CC24" s="255">
        <f t="shared" si="12"/>
        <v>0.6</v>
      </c>
      <c r="CD24" s="80">
        <f>IF($AZ$31="d",'Colony Type'!J51,IF($AZ$31="n",'Colony Type'!J79,IF($AZ$31="p",'Colony Type'!J107,IF($AZ$31="a",'Colony Type'!J135,IF($AZ$31="b",'Colony Type'!J163,IF($AZ$31="c",'Colony Type'!J191,IF($AZ$31="r",'Colony Type'!J219,IF($AZ$31="s",'Colony Type'!J219,IF($AZ$31="f",'Colony Type'!J275,"error")))))))))</f>
        <v>0</v>
      </c>
      <c r="CE24" s="106">
        <f t="shared" si="42"/>
        <v>0</v>
      </c>
      <c r="CF24" s="75">
        <f t="shared" si="43"/>
        <v>0</v>
      </c>
      <c r="CG24" s="102">
        <f t="shared" si="44"/>
        <v>0</v>
      </c>
      <c r="CH24" s="72">
        <f t="shared" si="13"/>
        <v>0</v>
      </c>
      <c r="CI24" s="73">
        <f t="shared" si="45"/>
        <v>0</v>
      </c>
      <c r="CJ24" s="356">
        <f t="shared" si="14"/>
        <v>0</v>
      </c>
      <c r="CK24" s="357">
        <f t="shared" si="46"/>
        <v>0</v>
      </c>
      <c r="CL24" s="73">
        <f t="shared" si="15"/>
        <v>68.990635184391508</v>
      </c>
      <c r="CM24" s="355">
        <v>1</v>
      </c>
      <c r="CN24" s="84">
        <f t="shared" si="16"/>
        <v>4.2749999999999995</v>
      </c>
      <c r="CO24" s="78">
        <f t="shared" si="47"/>
        <v>9.8493837450082944E-2</v>
      </c>
      <c r="CP24" s="103">
        <f t="shared" si="48"/>
        <v>0</v>
      </c>
      <c r="CQ24" s="71">
        <f t="shared" si="49"/>
        <v>0.6</v>
      </c>
      <c r="CR24" s="71">
        <f t="shared" si="17"/>
        <v>0</v>
      </c>
      <c r="CS24" s="74">
        <f t="shared" si="18"/>
        <v>0</v>
      </c>
      <c r="CT24" s="353">
        <f t="shared" si="19"/>
        <v>0</v>
      </c>
      <c r="CU24" s="355">
        <f t="shared" si="50"/>
        <v>0</v>
      </c>
      <c r="CV24" s="76">
        <f t="shared" si="20"/>
        <v>1</v>
      </c>
      <c r="CW24" s="74">
        <f t="shared" si="21"/>
        <v>65.990635184391508</v>
      </c>
      <c r="CX24" s="354">
        <v>1</v>
      </c>
      <c r="CY24" s="83">
        <f t="shared" si="51"/>
        <v>2.2586249999999999</v>
      </c>
      <c r="CZ24" s="79">
        <f t="shared" si="22"/>
        <v>0</v>
      </c>
      <c r="DA24" s="112">
        <f t="shared" si="23"/>
        <v>0</v>
      </c>
      <c r="DB24" s="55">
        <f t="shared" si="24"/>
        <v>-5.0125418235442863E-3</v>
      </c>
      <c r="DC24" s="133">
        <f t="shared" si="25"/>
        <v>-5.0125418235442863E-3</v>
      </c>
      <c r="DD24" s="133"/>
      <c r="DE24" s="378">
        <f t="shared" si="68"/>
        <v>918.38648299910312</v>
      </c>
      <c r="DF24" s="240">
        <f t="shared" si="26"/>
        <v>642.8705380993722</v>
      </c>
      <c r="DG24" s="240">
        <f t="shared" si="69"/>
        <v>520.67200827561715</v>
      </c>
      <c r="DH24" s="148">
        <f t="shared" si="70"/>
        <v>0</v>
      </c>
      <c r="DI24" s="17">
        <f t="shared" si="53"/>
        <v>918.38648299910312</v>
      </c>
      <c r="DJ24" s="266">
        <f t="shared" si="54"/>
        <v>67.408802738570898</v>
      </c>
      <c r="DK24" s="135">
        <f t="shared" si="27"/>
        <v>850.97768026053222</v>
      </c>
      <c r="DL24" s="244">
        <f>'Mite Immigration'!C32</f>
        <v>5</v>
      </c>
      <c r="DM24" s="137">
        <f t="shared" si="55"/>
        <v>-230.81635279750896</v>
      </c>
      <c r="DN24" s="98">
        <f t="shared" si="63"/>
        <v>-225.81635279750896</v>
      </c>
      <c r="DO24" s="265">
        <f t="shared" si="28"/>
        <v>625.16132746302333</v>
      </c>
      <c r="DP24" s="393">
        <f>FD$32</f>
        <v>0</v>
      </c>
      <c r="DQ24" s="135">
        <f t="shared" si="56"/>
        <v>0</v>
      </c>
      <c r="DR24" s="95">
        <f t="shared" si="29"/>
        <v>625.16132746302333</v>
      </c>
      <c r="DS24" s="29">
        <f t="shared" si="30"/>
        <v>-2.5289330439401018E-2</v>
      </c>
      <c r="DT24" s="271">
        <f t="shared" si="31"/>
        <v>40848</v>
      </c>
      <c r="DU24" s="89">
        <f t="shared" si="32"/>
        <v>918.38648299910312</v>
      </c>
      <c r="DV24" s="29">
        <f t="shared" si="33"/>
        <v>5.1021471277727951E-2</v>
      </c>
      <c r="DW24" s="145">
        <f t="shared" si="34"/>
        <v>16.071763452484305</v>
      </c>
      <c r="DX24" t="str">
        <f t="shared" si="64"/>
        <v/>
      </c>
      <c r="DY24" t="str">
        <f t="shared" si="65"/>
        <v/>
      </c>
      <c r="DZ24">
        <f>IF(DW$21&gt;60,100,0)</f>
        <v>0</v>
      </c>
      <c r="EA24">
        <f t="shared" si="67"/>
        <v>0</v>
      </c>
      <c r="EB24" s="17">
        <f t="shared" si="57"/>
        <v>1539.84375</v>
      </c>
      <c r="EC24" s="18">
        <f t="shared" si="58"/>
        <v>-6000</v>
      </c>
      <c r="ED24" s="264">
        <f t="shared" si="59"/>
        <v>7539.84375</v>
      </c>
      <c r="EE24" s="264">
        <f t="shared" si="66"/>
        <v>495.77054794520546</v>
      </c>
      <c r="EF24" s="104">
        <f t="shared" si="60"/>
        <v>0.6</v>
      </c>
      <c r="EG24" s="263">
        <f t="shared" si="61"/>
        <v>230.81635279750896</v>
      </c>
      <c r="EI24" s="17">
        <f t="shared" si="62"/>
        <v>0</v>
      </c>
      <c r="EJ24" s="164">
        <f>FD$57</f>
        <v>440.99640655410104</v>
      </c>
      <c r="EK24" s="37">
        <f>FC$59</f>
        <v>0.22627076237400909</v>
      </c>
      <c r="EO24" s="2">
        <v>40848</v>
      </c>
      <c r="EP24" s="259">
        <v>43221</v>
      </c>
    </row>
    <row r="25" spans="1:163" ht="13" customHeight="1" x14ac:dyDescent="0.3">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E25" s="291"/>
      <c r="AF25" s="291"/>
      <c r="AG25" s="566" t="s">
        <v>203</v>
      </c>
      <c r="AH25" s="566"/>
      <c r="AI25" s="566"/>
      <c r="AJ25" s="566"/>
      <c r="AK25" s="566"/>
      <c r="AL25" s="566"/>
      <c r="AM25" s="566"/>
      <c r="AN25" s="566"/>
      <c r="AO25" s="566"/>
      <c r="AP25" s="566"/>
      <c r="AQ25" s="566"/>
      <c r="AR25" s="566"/>
      <c r="AS25" s="566"/>
      <c r="AT25" s="566"/>
      <c r="AU25" s="566"/>
      <c r="AV25" s="567"/>
      <c r="AW25" s="568" t="s">
        <v>146</v>
      </c>
      <c r="AX25" s="569"/>
      <c r="AZ25" s="406">
        <f t="shared" si="35"/>
        <v>40862</v>
      </c>
      <c r="BA25" s="59">
        <f t="shared" si="0"/>
        <v>625.16132746302333</v>
      </c>
      <c r="BB25" s="301">
        <f t="shared" si="36"/>
        <v>-7.5678097832135418E-3</v>
      </c>
      <c r="BC25" s="233">
        <f t="shared" si="1"/>
        <v>0</v>
      </c>
      <c r="BD25" s="123">
        <f t="shared" si="37"/>
        <v>11.583871655932491</v>
      </c>
      <c r="BE25" s="4" t="str">
        <f t="shared" si="2"/>
        <v>n/a</v>
      </c>
      <c r="BF25" s="3">
        <f t="shared" si="3"/>
        <v>1</v>
      </c>
      <c r="BG25" s="499" t="s">
        <v>342</v>
      </c>
      <c r="BH25" s="555" t="s">
        <v>343</v>
      </c>
      <c r="BI25" s="556"/>
      <c r="BJ25" s="556"/>
      <c r="BK25" s="556"/>
      <c r="BL25" s="557"/>
      <c r="BN25" s="511"/>
      <c r="BO25" s="271">
        <f t="shared" si="38"/>
        <v>40862</v>
      </c>
      <c r="BP25" s="376">
        <f>IF($AZ$31="d",'Colony Type'!H52,IF($AZ$31="n",'Colony Type'!H80,IF($AZ$31="p",'Colony Type'!H108,IF($AZ$31="a",'Colony Type'!H136,IF($AZ$31="b",'Colony Type'!H164,IF($AZ$31="c",'Colony Type'!H192,IF($AZ$31="r",'Colony Type'!H220,IF($AZ$31="s",'Colony Type'!H248,IF($AZ$31="f",'Colony Type'!H276,"error")))))))))</f>
        <v>8.5</v>
      </c>
      <c r="BQ25">
        <f t="shared" si="4"/>
        <v>17000</v>
      </c>
      <c r="BR25" s="81">
        <f>IF($AZ$31="d",'Colony Type'!F52,IF($AZ$31="n",'Colony Type'!F80,IF($AZ$31="p",'Colony Type'!F108,IF($AZ$31="a",'Colony Type'!F136,IF($AZ$31="b",'Colony Type'!F164,IF($AZ$31="c",'Colony Type'!F192,IF($AZ$31="r",'Colony Type'!F220,IF($AZ$31="s",'Colony Type'!F248,IF($AZ$31="f",'Colony Type'!F276,"error")))))))))</f>
        <v>0</v>
      </c>
      <c r="BS25" s="17">
        <f t="shared" si="5"/>
        <v>1</v>
      </c>
      <c r="BT25" s="21">
        <f t="shared" si="6"/>
        <v>5.8823529411764708E-5</v>
      </c>
      <c r="BU25">
        <f t="shared" si="39"/>
        <v>0.6</v>
      </c>
      <c r="BV25" s="18">
        <f t="shared" si="40"/>
        <v>0</v>
      </c>
      <c r="BW25" s="18">
        <f t="shared" si="7"/>
        <v>0.05</v>
      </c>
      <c r="BX25" s="141">
        <f t="shared" si="41"/>
        <v>53.704843115191771</v>
      </c>
      <c r="BY25" s="27">
        <f t="shared" si="8"/>
        <v>65.704843115191778</v>
      </c>
      <c r="BZ25" s="32">
        <f t="shared" si="9"/>
        <v>1</v>
      </c>
      <c r="CA25" s="130">
        <f t="shared" si="10"/>
        <v>0</v>
      </c>
      <c r="CB25" s="28">
        <f t="shared" si="11"/>
        <v>0</v>
      </c>
      <c r="CC25" s="255">
        <f t="shared" si="12"/>
        <v>0.6</v>
      </c>
      <c r="CD25" s="80">
        <f>IF($AZ$31="d",'Colony Type'!J52,IF($AZ$31="n",'Colony Type'!J80,IF($AZ$31="p",'Colony Type'!J108,IF($AZ$31="a",'Colony Type'!J136,IF($AZ$31="b",'Colony Type'!J164,IF($AZ$31="c",'Colony Type'!J192,IF($AZ$31="r",'Colony Type'!J220,IF($AZ$31="s",'Colony Type'!J220,IF($AZ$31="f",'Colony Type'!J276,"error")))))))))</f>
        <v>0</v>
      </c>
      <c r="CE25" s="106">
        <f t="shared" si="42"/>
        <v>0</v>
      </c>
      <c r="CF25" s="75">
        <f t="shared" si="43"/>
        <v>0</v>
      </c>
      <c r="CG25" s="102">
        <f t="shared" si="44"/>
        <v>0</v>
      </c>
      <c r="CH25" s="72">
        <f t="shared" si="13"/>
        <v>0</v>
      </c>
      <c r="CI25" s="73">
        <f t="shared" si="45"/>
        <v>0</v>
      </c>
      <c r="CJ25" s="356">
        <f t="shared" si="14"/>
        <v>0</v>
      </c>
      <c r="CK25" s="357">
        <f t="shared" si="46"/>
        <v>0</v>
      </c>
      <c r="CL25" s="73">
        <f t="shared" si="15"/>
        <v>68.704843115191778</v>
      </c>
      <c r="CM25" s="355">
        <v>1</v>
      </c>
      <c r="CN25" s="84">
        <f t="shared" si="16"/>
        <v>4.2749999999999995</v>
      </c>
      <c r="CO25" s="78">
        <f t="shared" si="47"/>
        <v>9.8493837450082944E-2</v>
      </c>
      <c r="CP25" s="103">
        <f t="shared" si="48"/>
        <v>0</v>
      </c>
      <c r="CQ25" s="71">
        <f t="shared" si="49"/>
        <v>0.6</v>
      </c>
      <c r="CR25" s="71">
        <f t="shared" si="17"/>
        <v>0</v>
      </c>
      <c r="CS25" s="74">
        <f t="shared" si="18"/>
        <v>0</v>
      </c>
      <c r="CT25" s="353">
        <f t="shared" si="19"/>
        <v>0</v>
      </c>
      <c r="CU25" s="355">
        <f t="shared" si="50"/>
        <v>0</v>
      </c>
      <c r="CV25" s="76">
        <f t="shared" si="20"/>
        <v>1</v>
      </c>
      <c r="CW25" s="74">
        <f t="shared" si="21"/>
        <v>65.704843115191778</v>
      </c>
      <c r="CX25" s="354">
        <v>1</v>
      </c>
      <c r="CY25" s="83">
        <f t="shared" si="51"/>
        <v>2.2586249999999999</v>
      </c>
      <c r="CZ25" s="79">
        <f t="shared" si="22"/>
        <v>0</v>
      </c>
      <c r="DA25" s="112">
        <f t="shared" si="23"/>
        <v>0</v>
      </c>
      <c r="DB25" s="55">
        <f t="shared" si="24"/>
        <v>-5.0125418235442863E-3</v>
      </c>
      <c r="DC25" s="133">
        <f t="shared" si="25"/>
        <v>-5.0125418235442863E-3</v>
      </c>
      <c r="DD25" s="133"/>
      <c r="DE25" s="378">
        <f t="shared" si="68"/>
        <v>625.16132746302333</v>
      </c>
      <c r="DF25" s="240">
        <f t="shared" si="26"/>
        <v>437.61292922411633</v>
      </c>
      <c r="DG25" s="240">
        <f t="shared" si="69"/>
        <v>338.59391810385222</v>
      </c>
      <c r="DH25" s="148">
        <f t="shared" si="70"/>
        <v>0</v>
      </c>
      <c r="DI25" s="17">
        <f t="shared" si="53"/>
        <v>625.16132746302333</v>
      </c>
      <c r="DJ25" s="266">
        <f t="shared" si="54"/>
        <v>45.886320609946551</v>
      </c>
      <c r="DK25" s="135">
        <f t="shared" si="27"/>
        <v>579.27500685307677</v>
      </c>
      <c r="DL25" s="244">
        <f>'Mite Immigration'!C33</f>
        <v>0</v>
      </c>
      <c r="DM25" s="137">
        <f t="shared" si="55"/>
        <v>-22.079617843994324</v>
      </c>
      <c r="DN25" s="98">
        <f t="shared" si="63"/>
        <v>-22.079617843994324</v>
      </c>
      <c r="DO25" s="265">
        <f t="shared" si="28"/>
        <v>557.19538900908242</v>
      </c>
      <c r="DP25" s="393">
        <f>FE$32</f>
        <v>0</v>
      </c>
      <c r="DQ25" s="135">
        <f t="shared" si="56"/>
        <v>0</v>
      </c>
      <c r="DR25" s="95">
        <f t="shared" si="29"/>
        <v>557.19538900908242</v>
      </c>
      <c r="DS25" s="29">
        <f t="shared" si="30"/>
        <v>-7.5678097832135418E-3</v>
      </c>
      <c r="DT25" s="271">
        <f t="shared" si="31"/>
        <v>40862</v>
      </c>
      <c r="DU25" s="89">
        <f t="shared" si="32"/>
        <v>625.16132746302333</v>
      </c>
      <c r="DV25" s="29">
        <f t="shared" si="33"/>
        <v>3.6774195733119019E-2</v>
      </c>
      <c r="DW25" s="145">
        <f t="shared" si="34"/>
        <v>11.583871655932491</v>
      </c>
      <c r="DX25" t="str">
        <f t="shared" si="64"/>
        <v/>
      </c>
      <c r="DY25" t="str">
        <f t="shared" si="65"/>
        <v/>
      </c>
      <c r="DZ25">
        <f>IF(DW$21&gt;60,100,0)</f>
        <v>0</v>
      </c>
      <c r="EA25">
        <f t="shared" si="67"/>
        <v>0</v>
      </c>
      <c r="EB25" s="17">
        <f t="shared" si="57"/>
        <v>0.68437499999999996</v>
      </c>
      <c r="EC25" s="18">
        <f t="shared" si="58"/>
        <v>-1000</v>
      </c>
      <c r="ED25" s="264">
        <f t="shared" si="59"/>
        <v>1000.684375</v>
      </c>
      <c r="EE25" s="264">
        <f t="shared" si="66"/>
        <v>65.798424657534241</v>
      </c>
      <c r="EF25" s="104">
        <f t="shared" si="60"/>
        <v>0.6</v>
      </c>
      <c r="EG25" s="263">
        <f t="shared" si="61"/>
        <v>22.079617843994324</v>
      </c>
      <c r="EI25" s="17">
        <f t="shared" si="62"/>
        <v>0</v>
      </c>
      <c r="EJ25" s="164">
        <f>FE$57</f>
        <v>560.43704335197344</v>
      </c>
      <c r="EK25" s="37">
        <f>FD$59</f>
        <v>0.32517692287497929</v>
      </c>
      <c r="EO25" s="2">
        <v>40862</v>
      </c>
      <c r="EP25" s="259">
        <v>43235</v>
      </c>
      <c r="ES25">
        <v>17.954999999999998</v>
      </c>
    </row>
    <row r="26" spans="1:163" ht="13" customHeight="1" x14ac:dyDescent="0.3">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F26" s="418"/>
      <c r="AG26" s="6"/>
      <c r="AU26" s="377"/>
      <c r="AZ26" s="406">
        <f t="shared" si="35"/>
        <v>40878</v>
      </c>
      <c r="BA26" s="59">
        <f t="shared" si="0"/>
        <v>557.19538900908242</v>
      </c>
      <c r="BB26" s="301">
        <f t="shared" si="36"/>
        <v>-6.3173873271419444E-3</v>
      </c>
      <c r="BC26" s="233">
        <f t="shared" si="1"/>
        <v>0</v>
      </c>
      <c r="BD26" s="123">
        <f t="shared" si="37"/>
        <v>10.637366517446118</v>
      </c>
      <c r="BE26" s="4" t="str">
        <f t="shared" si="2"/>
        <v>n/a</v>
      </c>
      <c r="BF26" s="3">
        <f t="shared" si="3"/>
        <v>1</v>
      </c>
      <c r="BG26" s="498"/>
      <c r="BH26" s="558"/>
      <c r="BI26" s="559"/>
      <c r="BJ26" s="559"/>
      <c r="BK26" s="559"/>
      <c r="BL26" s="560"/>
      <c r="BN26" s="511"/>
      <c r="BO26" s="271">
        <f t="shared" si="38"/>
        <v>40878</v>
      </c>
      <c r="BP26" s="376">
        <f>IF($AZ$31="d",'Colony Type'!H53,IF($AZ$31="n",'Colony Type'!H81,IF($AZ$31="p",'Colony Type'!H109,IF($AZ$31="a",'Colony Type'!H137,IF($AZ$31="b",'Colony Type'!H165,IF($AZ$31="c",'Colony Type'!H193,IF($AZ$31="r",'Colony Type'!H221,IF($AZ$31="s",'Colony Type'!H249,IF($AZ$31="f",'Colony Type'!H277,"error")))))))))</f>
        <v>8.25</v>
      </c>
      <c r="BQ26">
        <f t="shared" si="4"/>
        <v>16500</v>
      </c>
      <c r="BR26" s="81">
        <f>IF($AZ$31="d",'Colony Type'!F53,IF($AZ$31="n",'Colony Type'!F81,IF($AZ$31="p",'Colony Type'!F109,IF($AZ$31="a",'Colony Type'!F137,IF($AZ$31="b",'Colony Type'!F165,IF($AZ$31="c",'Colony Type'!F193,IF($AZ$31="r",'Colony Type'!F221,IF($AZ$31="s",'Colony Type'!F249,IF($AZ$31="f",'Colony Type'!F277,"error")))))))))</f>
        <v>0</v>
      </c>
      <c r="BS26" s="17">
        <f t="shared" si="5"/>
        <v>1</v>
      </c>
      <c r="BT26" s="21">
        <f t="shared" si="6"/>
        <v>6.0606060606060605E-5</v>
      </c>
      <c r="BU26">
        <f t="shared" si="39"/>
        <v>0.6</v>
      </c>
      <c r="BV26" s="18">
        <f t="shared" si="40"/>
        <v>0</v>
      </c>
      <c r="BW26" s="18">
        <f t="shared" si="7"/>
        <v>0.05</v>
      </c>
      <c r="BX26" s="141">
        <f t="shared" si="41"/>
        <v>53.555578299443354</v>
      </c>
      <c r="BY26" s="27">
        <f t="shared" si="8"/>
        <v>65.555578299443354</v>
      </c>
      <c r="BZ26" s="32">
        <f t="shared" si="9"/>
        <v>1</v>
      </c>
      <c r="CA26" s="130">
        <f t="shared" si="10"/>
        <v>0</v>
      </c>
      <c r="CB26" s="28">
        <f t="shared" si="11"/>
        <v>0</v>
      </c>
      <c r="CC26" s="255">
        <f t="shared" si="12"/>
        <v>0.6</v>
      </c>
      <c r="CD26" s="80">
        <f>IF($AZ$31="d",'Colony Type'!J53,IF($AZ$31="n",'Colony Type'!J81,IF($AZ$31="p",'Colony Type'!J109,IF($AZ$31="a",'Colony Type'!J137,IF($AZ$31="b",'Colony Type'!J165,IF($AZ$31="c",'Colony Type'!J193,IF($AZ$31="r",'Colony Type'!J221,IF($AZ$31="s",'Colony Type'!J221,IF($AZ$31="f",'Colony Type'!J277,"error")))))))))</f>
        <v>0</v>
      </c>
      <c r="CE26" s="106">
        <f t="shared" si="42"/>
        <v>0</v>
      </c>
      <c r="CF26" s="75">
        <f t="shared" si="43"/>
        <v>0</v>
      </c>
      <c r="CG26" s="102">
        <f t="shared" si="44"/>
        <v>0</v>
      </c>
      <c r="CH26" s="72">
        <f t="shared" si="13"/>
        <v>0</v>
      </c>
      <c r="CI26" s="73">
        <f t="shared" si="45"/>
        <v>0</v>
      </c>
      <c r="CJ26" s="356">
        <f t="shared" si="14"/>
        <v>0</v>
      </c>
      <c r="CK26" s="357">
        <f t="shared" si="46"/>
        <v>0</v>
      </c>
      <c r="CL26" s="73">
        <f t="shared" si="15"/>
        <v>68.555578299443354</v>
      </c>
      <c r="CM26" s="355">
        <v>1</v>
      </c>
      <c r="CN26" s="84">
        <f t="shared" si="16"/>
        <v>4.2749999999999995</v>
      </c>
      <c r="CO26" s="78">
        <f t="shared" si="47"/>
        <v>9.8493837450082944E-2</v>
      </c>
      <c r="CP26" s="103">
        <f t="shared" si="48"/>
        <v>0</v>
      </c>
      <c r="CQ26" s="71">
        <f t="shared" si="49"/>
        <v>0.6</v>
      </c>
      <c r="CR26" s="71">
        <f t="shared" si="17"/>
        <v>0</v>
      </c>
      <c r="CS26" s="74">
        <f t="shared" si="18"/>
        <v>0</v>
      </c>
      <c r="CT26" s="353">
        <f t="shared" si="19"/>
        <v>0</v>
      </c>
      <c r="CU26" s="355">
        <f t="shared" si="50"/>
        <v>0</v>
      </c>
      <c r="CV26" s="76">
        <f t="shared" si="20"/>
        <v>1</v>
      </c>
      <c r="CW26" s="74">
        <f t="shared" si="21"/>
        <v>65.555578299443354</v>
      </c>
      <c r="CX26" s="354">
        <v>1</v>
      </c>
      <c r="CY26" s="83">
        <f t="shared" si="51"/>
        <v>2.2586249999999999</v>
      </c>
      <c r="CZ26" s="79">
        <f t="shared" si="22"/>
        <v>0</v>
      </c>
      <c r="DA26" s="112">
        <f t="shared" si="23"/>
        <v>0</v>
      </c>
      <c r="DB26" s="55">
        <f t="shared" si="24"/>
        <v>-5.0125418235442863E-3</v>
      </c>
      <c r="DC26" s="133">
        <f t="shared" si="25"/>
        <v>-5.0125418235442863E-3</v>
      </c>
      <c r="DD26" s="133"/>
      <c r="DE26" s="378">
        <f t="shared" si="68"/>
        <v>557.19538900908242</v>
      </c>
      <c r="DF26" s="240">
        <f t="shared" si="26"/>
        <v>390.03677230635765</v>
      </c>
      <c r="DG26" s="240">
        <f t="shared" si="69"/>
        <v>263.20581487968735</v>
      </c>
      <c r="DH26" s="148">
        <f t="shared" si="70"/>
        <v>0</v>
      </c>
      <c r="DI26" s="17">
        <f t="shared" si="53"/>
        <v>557.19538900908242</v>
      </c>
      <c r="DJ26" s="266">
        <f t="shared" si="54"/>
        <v>40.897677350278627</v>
      </c>
      <c r="DK26" s="135">
        <f t="shared" si="27"/>
        <v>516.29771165880379</v>
      </c>
      <c r="DL26" s="244">
        <f>'Mite Immigration'!C34</f>
        <v>0</v>
      </c>
      <c r="DM26" s="137">
        <f t="shared" si="55"/>
        <v>-10.144691821777974</v>
      </c>
      <c r="DN26" s="98">
        <f t="shared" si="63"/>
        <v>-10.144691821777974</v>
      </c>
      <c r="DO26" s="265">
        <f t="shared" si="28"/>
        <v>506.15301983702579</v>
      </c>
      <c r="DP26" s="393">
        <f>FF$32</f>
        <v>0</v>
      </c>
      <c r="DQ26" s="135">
        <f t="shared" si="56"/>
        <v>0</v>
      </c>
      <c r="DR26" s="95">
        <f t="shared" si="29"/>
        <v>506.15301983702579</v>
      </c>
      <c r="DS26" s="29">
        <f t="shared" si="30"/>
        <v>-6.3173873271419444E-3</v>
      </c>
      <c r="DT26" s="271">
        <f t="shared" si="31"/>
        <v>40878</v>
      </c>
      <c r="DU26" s="89">
        <f t="shared" si="32"/>
        <v>557.19538900908242</v>
      </c>
      <c r="DV26" s="29">
        <f t="shared" si="33"/>
        <v>3.3769417515701963E-2</v>
      </c>
      <c r="DW26" s="145">
        <f t="shared" si="34"/>
        <v>10.637366517446118</v>
      </c>
      <c r="DX26" t="str">
        <f t="shared" si="64"/>
        <v/>
      </c>
      <c r="DY26" t="str">
        <f t="shared" si="65"/>
        <v/>
      </c>
      <c r="DZ26">
        <f>IF(DW$21&gt;60,100,0)</f>
        <v>0</v>
      </c>
      <c r="EA26">
        <f t="shared" si="67"/>
        <v>0</v>
      </c>
      <c r="EB26" s="17">
        <f t="shared" si="57"/>
        <v>0.68437499999999996</v>
      </c>
      <c r="EC26" s="18">
        <f t="shared" si="58"/>
        <v>-500</v>
      </c>
      <c r="ED26" s="264">
        <f t="shared" si="59"/>
        <v>500.68437499999999</v>
      </c>
      <c r="EE26" s="264">
        <f t="shared" si="66"/>
        <v>32.921712328767121</v>
      </c>
      <c r="EF26" s="104">
        <f t="shared" si="60"/>
        <v>0.6</v>
      </c>
      <c r="EG26" s="263">
        <f t="shared" si="61"/>
        <v>10.144691821777974</v>
      </c>
      <c r="EI26" s="17">
        <f t="shared" si="62"/>
        <v>0</v>
      </c>
      <c r="EJ26" s="164">
        <f>FF$57</f>
        <v>721.22201397342303</v>
      </c>
      <c r="EK26" s="37">
        <f>FE$59</f>
        <v>0.45228869607041494</v>
      </c>
      <c r="EO26" s="2">
        <v>40878</v>
      </c>
      <c r="EP26" s="259">
        <v>43252</v>
      </c>
    </row>
    <row r="27" spans="1:163" ht="13" customHeight="1" x14ac:dyDescent="0.3">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F27" s="418"/>
      <c r="AX27" s="242"/>
      <c r="AZ27" s="406">
        <f t="shared" si="35"/>
        <v>40892</v>
      </c>
      <c r="BA27" s="59">
        <f t="shared" si="0"/>
        <v>506.15301983702579</v>
      </c>
      <c r="BB27" s="301">
        <f t="shared" si="36"/>
        <v>-6.3585839359549465E-3</v>
      </c>
      <c r="BC27" s="233">
        <f t="shared" si="1"/>
        <v>0</v>
      </c>
      <c r="BD27" s="123">
        <f t="shared" si="37"/>
        <v>9.964887578041445</v>
      </c>
      <c r="BE27" s="4" t="str">
        <f t="shared" si="2"/>
        <v>n/a</v>
      </c>
      <c r="BF27" s="3">
        <f t="shared" si="3"/>
        <v>1</v>
      </c>
      <c r="BL27" s="37"/>
      <c r="BN27" s="511"/>
      <c r="BO27" s="271">
        <f t="shared" si="38"/>
        <v>40892</v>
      </c>
      <c r="BP27" s="376">
        <f>IF($AZ$31="d",'Colony Type'!H54,IF($AZ$31="n",'Colony Type'!H82,IF($AZ$31="p",'Colony Type'!H110,IF($AZ$31="a",'Colony Type'!H138,IF($AZ$31="b",'Colony Type'!H166,IF($AZ$31="c",'Colony Type'!H194,IF($AZ$31="r",'Colony Type'!H222,IF($AZ$31="s",'Colony Type'!H250,IF($AZ$31="f",'Colony Type'!H278,"error")))))))))</f>
        <v>8</v>
      </c>
      <c r="BQ27">
        <f t="shared" si="4"/>
        <v>16000</v>
      </c>
      <c r="BR27" s="81">
        <f>IF($AZ$31="d",'Colony Type'!F54,IF($AZ$31="n",'Colony Type'!F82,IF($AZ$31="p",'Colony Type'!F110,IF($AZ$31="a",'Colony Type'!F138,IF($AZ$31="b",'Colony Type'!F166,IF($AZ$31="c",'Colony Type'!F194,IF($AZ$31="r",'Colony Type'!F222,IF($AZ$31="s",'Colony Type'!F250,IF($AZ$31="f",'Colony Type'!F278,"error")))))))))</f>
        <v>0</v>
      </c>
      <c r="BS27" s="17">
        <f t="shared" si="5"/>
        <v>1</v>
      </c>
      <c r="BT27" s="21">
        <f t="shared" si="6"/>
        <v>6.2500000000000001E-5</v>
      </c>
      <c r="BU27">
        <f t="shared" si="39"/>
        <v>0.6</v>
      </c>
      <c r="BV27" s="18">
        <f t="shared" si="40"/>
        <v>0</v>
      </c>
      <c r="BW27" s="18">
        <f t="shared" si="7"/>
        <v>0.05</v>
      </c>
      <c r="BX27" s="141">
        <f t="shared" si="41"/>
        <v>53.401720006109592</v>
      </c>
      <c r="BY27" s="27">
        <f t="shared" si="8"/>
        <v>65.401720006109599</v>
      </c>
      <c r="BZ27" s="32">
        <f t="shared" si="9"/>
        <v>1</v>
      </c>
      <c r="CA27" s="130">
        <f t="shared" si="10"/>
        <v>0</v>
      </c>
      <c r="CB27" s="28">
        <f t="shared" si="11"/>
        <v>0</v>
      </c>
      <c r="CC27" s="255">
        <f t="shared" si="12"/>
        <v>0.6</v>
      </c>
      <c r="CD27" s="80">
        <f>IF($AZ$31="d",'Colony Type'!J54,IF($AZ$31="n",'Colony Type'!J82,IF($AZ$31="p",'Colony Type'!J110,IF($AZ$31="a",'Colony Type'!J138,IF($AZ$31="b",'Colony Type'!J166,IF($AZ$31="c",'Colony Type'!J194,IF($AZ$31="r",'Colony Type'!J222,IF($AZ$31="s",'Colony Type'!J222,IF($AZ$31="f",'Colony Type'!J278,"error")))))))))</f>
        <v>0</v>
      </c>
      <c r="CE27" s="106">
        <f t="shared" si="42"/>
        <v>0</v>
      </c>
      <c r="CF27" s="75">
        <f t="shared" si="43"/>
        <v>0</v>
      </c>
      <c r="CG27" s="102">
        <f t="shared" si="44"/>
        <v>0</v>
      </c>
      <c r="CH27" s="72">
        <f t="shared" si="13"/>
        <v>0</v>
      </c>
      <c r="CI27" s="73">
        <f t="shared" si="45"/>
        <v>0</v>
      </c>
      <c r="CJ27" s="356">
        <f t="shared" si="14"/>
        <v>0</v>
      </c>
      <c r="CK27" s="357">
        <f t="shared" si="46"/>
        <v>0</v>
      </c>
      <c r="CL27" s="73">
        <f t="shared" si="15"/>
        <v>68.401720006109599</v>
      </c>
      <c r="CM27" s="355">
        <v>1</v>
      </c>
      <c r="CN27" s="84">
        <f t="shared" si="16"/>
        <v>4.2749999999999995</v>
      </c>
      <c r="CO27" s="78">
        <f t="shared" si="47"/>
        <v>9.8493837450082944E-2</v>
      </c>
      <c r="CP27" s="103">
        <f t="shared" si="48"/>
        <v>0</v>
      </c>
      <c r="CQ27" s="71">
        <f t="shared" si="49"/>
        <v>0.6</v>
      </c>
      <c r="CR27" s="71">
        <f t="shared" si="17"/>
        <v>0</v>
      </c>
      <c r="CS27" s="74">
        <f t="shared" si="18"/>
        <v>0</v>
      </c>
      <c r="CT27" s="353">
        <f t="shared" si="19"/>
        <v>0</v>
      </c>
      <c r="CU27" s="355">
        <f t="shared" si="50"/>
        <v>0</v>
      </c>
      <c r="CV27" s="76">
        <f t="shared" si="20"/>
        <v>1</v>
      </c>
      <c r="CW27" s="74">
        <f t="shared" si="21"/>
        <v>65.401720006109599</v>
      </c>
      <c r="CX27" s="354">
        <v>1</v>
      </c>
      <c r="CY27" s="83">
        <f t="shared" si="51"/>
        <v>2.2586249999999999</v>
      </c>
      <c r="CZ27" s="79">
        <f t="shared" si="22"/>
        <v>0</v>
      </c>
      <c r="DA27" s="112">
        <f t="shared" si="23"/>
        <v>0</v>
      </c>
      <c r="DB27" s="55">
        <f t="shared" si="24"/>
        <v>-5.0125418235442863E-3</v>
      </c>
      <c r="DC27" s="133">
        <f t="shared" si="25"/>
        <v>-5.0125418235442863E-3</v>
      </c>
      <c r="DD27" s="133"/>
      <c r="DE27" s="378">
        <f t="shared" si="68"/>
        <v>506.15301983702579</v>
      </c>
      <c r="DF27" s="240">
        <f t="shared" si="26"/>
        <v>354.30711388591806</v>
      </c>
      <c r="DG27" s="240">
        <f t="shared" si="69"/>
        <v>194.0580113379842</v>
      </c>
      <c r="DH27" s="148">
        <f t="shared" si="70"/>
        <v>0</v>
      </c>
      <c r="DI27" s="17">
        <f t="shared" si="53"/>
        <v>506.15301983702579</v>
      </c>
      <c r="DJ27" s="266">
        <f t="shared" si="54"/>
        <v>37.151209976768939</v>
      </c>
      <c r="DK27" s="135">
        <f t="shared" si="27"/>
        <v>469.00180986025686</v>
      </c>
      <c r="DL27" s="244">
        <f>'Mite Immigration'!C35</f>
        <v>0</v>
      </c>
      <c r="DM27" s="137">
        <f t="shared" si="55"/>
        <v>-9.5033590646798931</v>
      </c>
      <c r="DN27" s="98">
        <f t="shared" si="63"/>
        <v>-9.5033590646798931</v>
      </c>
      <c r="DO27" s="265">
        <f t="shared" si="28"/>
        <v>459.49845079557696</v>
      </c>
      <c r="DP27" s="393">
        <f>FG$32</f>
        <v>0</v>
      </c>
      <c r="DQ27" s="135">
        <f t="shared" si="56"/>
        <v>0</v>
      </c>
      <c r="DR27" s="95">
        <f t="shared" si="29"/>
        <v>459.49845079557696</v>
      </c>
      <c r="DS27" s="29">
        <f t="shared" si="30"/>
        <v>-6.3585839359549465E-3</v>
      </c>
      <c r="DT27" s="271">
        <f t="shared" si="31"/>
        <v>40892</v>
      </c>
      <c r="DU27" s="89">
        <f t="shared" si="32"/>
        <v>506.15301983702579</v>
      </c>
      <c r="DV27" s="29">
        <f t="shared" si="33"/>
        <v>3.163456373981411E-2</v>
      </c>
      <c r="DW27" s="145">
        <f t="shared" si="34"/>
        <v>9.964887578041445</v>
      </c>
      <c r="DX27" t="str">
        <f t="shared" si="64"/>
        <v/>
      </c>
      <c r="DY27" t="str">
        <f t="shared" si="65"/>
        <v/>
      </c>
      <c r="DZ27">
        <f>IF(DW$21&gt;60,100,0)</f>
        <v>0</v>
      </c>
      <c r="EA27">
        <f t="shared" si="67"/>
        <v>0</v>
      </c>
      <c r="EB27" s="17">
        <f t="shared" si="57"/>
        <v>0.68437499999999996</v>
      </c>
      <c r="EC27" s="18">
        <f t="shared" si="58"/>
        <v>-500</v>
      </c>
      <c r="ED27" s="264">
        <f t="shared" si="59"/>
        <v>500.68437499999999</v>
      </c>
      <c r="EE27" s="264">
        <f t="shared" si="66"/>
        <v>32.921712328767121</v>
      </c>
      <c r="EF27" s="104">
        <f t="shared" si="60"/>
        <v>0.6</v>
      </c>
      <c r="EG27" s="263">
        <f t="shared" si="61"/>
        <v>9.5033590646798931</v>
      </c>
      <c r="EI27" s="17">
        <f t="shared" si="62"/>
        <v>0</v>
      </c>
      <c r="EJ27" s="164">
        <f>FG$57</f>
        <v>850.41226113251889</v>
      </c>
      <c r="EK27" s="37">
        <f>FF$59</f>
        <v>0.63703326145644401</v>
      </c>
      <c r="EO27" s="2">
        <v>40892</v>
      </c>
      <c r="EP27" s="259">
        <v>43266</v>
      </c>
      <c r="ES27">
        <v>11.025</v>
      </c>
    </row>
    <row r="28" spans="1:163" ht="12.75" customHeight="1" x14ac:dyDescent="0.3">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F28" s="418"/>
      <c r="AG28" s="243"/>
      <c r="AI28" s="159"/>
      <c r="AJ28" s="159"/>
      <c r="AK28" s="159"/>
      <c r="AL28" s="159"/>
      <c r="AM28" s="159"/>
      <c r="AN28" s="159"/>
      <c r="AO28" s="159"/>
      <c r="AP28" s="159"/>
      <c r="AQ28" s="159"/>
      <c r="AR28" s="159"/>
      <c r="AS28" s="159"/>
      <c r="AT28" s="159"/>
      <c r="AU28" s="159"/>
      <c r="AV28" s="159"/>
      <c r="AW28" s="159"/>
      <c r="AX28" s="159"/>
      <c r="AZ28" s="406">
        <f t="shared" si="35"/>
        <v>40908</v>
      </c>
      <c r="BA28" s="59">
        <f>IF(EA27&gt;0,"",DE28)</f>
        <v>459.49845079557696</v>
      </c>
      <c r="BB28" s="301">
        <f>IF(EA28&gt;0,"",DS28)</f>
        <v>-5.0143630213130364E-3</v>
      </c>
      <c r="BC28" s="233">
        <f t="shared" si="1"/>
        <v>0</v>
      </c>
      <c r="BD28" s="123">
        <f>IF(EA28&gt;0,"",DW28)</f>
        <v>9.0463757500379209</v>
      </c>
      <c r="BE28" s="4" t="str">
        <f t="shared" si="2"/>
        <v>n/a</v>
      </c>
      <c r="BF28" s="3">
        <f t="shared" si="3"/>
        <v>1</v>
      </c>
      <c r="BI28" s="64"/>
      <c r="BJ28" s="64"/>
      <c r="BK28" s="91"/>
      <c r="BL28" s="91"/>
      <c r="BO28" s="271">
        <f t="shared" si="38"/>
        <v>40908</v>
      </c>
      <c r="BP28" s="376">
        <f>IF($AZ$31="d",'Colony Type'!H55,IF($AZ$31="n",'Colony Type'!H83,IF($AZ$31="p",'Colony Type'!H111,IF($AZ$31="a",'Colony Type'!H139,IF($AZ$31="b",'Colony Type'!H167,IF($AZ$31="c",'Colony Type'!H195,IF($AZ$31="r",'Colony Type'!H223,IF($AZ$31="s",'Colony Type'!H251,IF($AZ$31="f",'Colony Type'!H279,"error")))))))))</f>
        <v>8</v>
      </c>
      <c r="BQ28">
        <f>BP28*$BP$44</f>
        <v>16000</v>
      </c>
      <c r="BR28" s="81">
        <f>IF($AZ$31="d",'Colony Type'!F55,IF($AZ$31="n",'Colony Type'!F83,IF($AZ$31="p",'Colony Type'!F111,IF($AZ$31="a",'Colony Type'!F139,IF($AZ$31="b",'Colony Type'!F167,IF($AZ$31="c",'Colony Type'!F195,IF($AZ$31="r",'Colony Type'!F223,IF($AZ$31="s",'Colony Type'!F251,IF($AZ$31="f",'Colony Type'!F279,"error")))))))))</f>
        <v>0</v>
      </c>
      <c r="BS28" s="17">
        <f>IF(BR28=0,1,$BP$43*BR28)</f>
        <v>1</v>
      </c>
      <c r="BT28" s="21">
        <f>IF(BQ28=0,0,BS28/BQ28)</f>
        <v>6.2500000000000001E-5</v>
      </c>
      <c r="BU28">
        <f>BS28*12/20</f>
        <v>0.6</v>
      </c>
      <c r="BV28" s="18">
        <f>CT28*BU28</f>
        <v>0</v>
      </c>
      <c r="BW28" s="18">
        <f>BS28/20</f>
        <v>0.05</v>
      </c>
      <c r="BX28" s="141">
        <f>IF(BT28=0,0.001,(-$BP$42*LN(BT28))+$BP$41)</f>
        <v>53.401720006109592</v>
      </c>
      <c r="BY28" s="27">
        <f>BX28+12</f>
        <v>65.401720006109599</v>
      </c>
      <c r="BZ28" s="32">
        <f>IF(BR28=0,1,BX28/BY28)</f>
        <v>1</v>
      </c>
      <c r="CA28" s="130">
        <f>1-BZ28</f>
        <v>0</v>
      </c>
      <c r="CB28" s="28">
        <f t="shared" si="11"/>
        <v>0</v>
      </c>
      <c r="CC28" s="255">
        <f>0.6*BS28</f>
        <v>0.6</v>
      </c>
      <c r="CD28" s="80">
        <f>IF($AZ$31="d",'Colony Type'!J55,IF($AZ$31="n",'Colony Type'!J83,IF($AZ$31="p",'Colony Type'!J111,IF($AZ$31="a",'Colony Type'!I139,IF($AZ$31="b",'Colony Type'!J167,IF($AZ$31="c",'Colony Type'!J195,IF($AZ$31="r",'Colony Type'!J223,IF($AZ$31="s",'Colony Type'!J223,IF($AZ$31="f",'Colony Type'!J279,"error")))))))))</f>
        <v>0</v>
      </c>
      <c r="CE28" s="106">
        <f t="shared" si="42"/>
        <v>0</v>
      </c>
      <c r="CF28" s="75">
        <f t="shared" si="43"/>
        <v>0</v>
      </c>
      <c r="CG28" s="102">
        <f>CF28*CA28</f>
        <v>0</v>
      </c>
      <c r="CH28" s="72">
        <f>CF28*CB28</f>
        <v>0</v>
      </c>
      <c r="CI28" s="73">
        <f>IF(CE28=0,0,CH28/(CC28*CE28))</f>
        <v>0</v>
      </c>
      <c r="CJ28" s="356">
        <f t="shared" si="14"/>
        <v>0</v>
      </c>
      <c r="CK28" s="357">
        <f>IF(CJ28=0,0,CI28/CJ28)</f>
        <v>0</v>
      </c>
      <c r="CL28" s="73">
        <f>BX28+15</f>
        <v>68.401720006109599</v>
      </c>
      <c r="CM28" s="355">
        <v>1</v>
      </c>
      <c r="CN28" s="84">
        <f>(1+($BP$31*CM28))*$BP$46</f>
        <v>4.2749999999999995</v>
      </c>
      <c r="CO28" s="78">
        <f>LN(CN28)/14.75</f>
        <v>9.8493837450082944E-2</v>
      </c>
      <c r="CP28" s="103">
        <f>1-BZ28-CG28</f>
        <v>0</v>
      </c>
      <c r="CQ28" s="71">
        <f>(1-CE28)*CC28</f>
        <v>0.6</v>
      </c>
      <c r="CR28" s="71">
        <f>CB28-CH28</f>
        <v>0</v>
      </c>
      <c r="CS28" s="74">
        <f>CR28/CQ28</f>
        <v>0</v>
      </c>
      <c r="CT28" s="353">
        <f t="shared" si="19"/>
        <v>0</v>
      </c>
      <c r="CU28" s="355">
        <f t="shared" si="50"/>
        <v>0</v>
      </c>
      <c r="CV28" s="76">
        <f t="shared" si="20"/>
        <v>1</v>
      </c>
      <c r="CW28" s="74">
        <f t="shared" si="21"/>
        <v>65.401720006109599</v>
      </c>
      <c r="CX28" s="354">
        <v>1</v>
      </c>
      <c r="CY28" s="83">
        <f t="shared" si="51"/>
        <v>2.2586249999999999</v>
      </c>
      <c r="CZ28" s="79">
        <f t="shared" si="22"/>
        <v>0</v>
      </c>
      <c r="DA28" s="112">
        <f t="shared" si="23"/>
        <v>0</v>
      </c>
      <c r="DB28" s="55">
        <f t="shared" si="24"/>
        <v>-5.0125418235442863E-3</v>
      </c>
      <c r="DC28" s="133">
        <f>DA28+DB28</f>
        <v>-5.0125418235442863E-3</v>
      </c>
      <c r="DD28" s="133"/>
      <c r="DE28" s="378">
        <f t="shared" si="68"/>
        <v>459.49845079557696</v>
      </c>
      <c r="DF28" s="240">
        <f t="shared" si="26"/>
        <v>321.64891555690383</v>
      </c>
      <c r="DG28" s="240">
        <f t="shared" si="69"/>
        <v>116.74785783576102</v>
      </c>
      <c r="DH28" s="148">
        <f t="shared" si="70"/>
        <v>0</v>
      </c>
      <c r="DI28" s="17">
        <f>DE28+DH28</f>
        <v>459.49845079557696</v>
      </c>
      <c r="DJ28" s="266">
        <f>DI28-DK28</f>
        <v>33.726803477341889</v>
      </c>
      <c r="DK28" s="135">
        <f t="shared" si="27"/>
        <v>425.77164731823507</v>
      </c>
      <c r="DL28" s="244">
        <f>'Mite Immigration'!C36</f>
        <v>0</v>
      </c>
      <c r="DM28" s="137">
        <f>IF(EG28&gt;DU28*EF28,-DU28*EF28,-EG28)</f>
        <v>-1.1792596959870861E-2</v>
      </c>
      <c r="DN28" s="98">
        <f t="shared" si="63"/>
        <v>-1.1792596959870861E-2</v>
      </c>
      <c r="DO28" s="265">
        <f t="shared" si="28"/>
        <v>425.75985472127519</v>
      </c>
      <c r="DP28" s="393"/>
      <c r="DQ28" s="135"/>
      <c r="DR28" s="95">
        <f t="shared" si="29"/>
        <v>425.75985472127519</v>
      </c>
      <c r="DS28" s="29">
        <f t="shared" si="30"/>
        <v>-5.0143630213130364E-3</v>
      </c>
      <c r="DT28" s="271">
        <f t="shared" si="31"/>
        <v>40908</v>
      </c>
      <c r="DU28" s="89">
        <f t="shared" si="32"/>
        <v>459.49845079557696</v>
      </c>
      <c r="DV28" s="29">
        <f t="shared" si="33"/>
        <v>2.8718653174723559E-2</v>
      </c>
      <c r="DW28" s="145">
        <f>DV28*315</f>
        <v>9.0463757500379209</v>
      </c>
      <c r="DX28" t="str">
        <f t="shared" si="64"/>
        <v/>
      </c>
      <c r="DY28" t="str">
        <f t="shared" si="65"/>
        <v/>
      </c>
      <c r="DZ28">
        <f>IF(DW$21&gt;60,100,0)</f>
        <v>0</v>
      </c>
      <c r="EA28">
        <f t="shared" si="67"/>
        <v>0</v>
      </c>
      <c r="EB28" s="17">
        <f t="shared" si="57"/>
        <v>0.68437499999999996</v>
      </c>
      <c r="EC28" s="18">
        <f t="shared" si="58"/>
        <v>0</v>
      </c>
      <c r="ED28" s="264">
        <f>EB28-EC28</f>
        <v>0.68437499999999996</v>
      </c>
      <c r="EE28" s="264">
        <f t="shared" si="66"/>
        <v>4.4999999999999998E-2</v>
      </c>
      <c r="EF28" s="104">
        <f>IF(DV28&gt;0.15,1,$BP$35)</f>
        <v>0.6</v>
      </c>
      <c r="EG28" s="263">
        <f>ED28*EF28*DV28</f>
        <v>1.1792596959870861E-2</v>
      </c>
      <c r="EI28" s="17">
        <f t="shared" si="62"/>
        <v>0</v>
      </c>
      <c r="EJ28" s="164">
        <f>FG$57</f>
        <v>850.41226113251889</v>
      </c>
      <c r="EK28" s="37">
        <f>FF$59</f>
        <v>0.63703326145644401</v>
      </c>
      <c r="EM28" s="18"/>
      <c r="EN28" s="18"/>
      <c r="EO28" s="2">
        <v>40908</v>
      </c>
      <c r="EP28" s="259">
        <v>43281</v>
      </c>
    </row>
    <row r="29" spans="1:163" ht="13" customHeight="1" x14ac:dyDescent="0.3">
      <c r="AF29" s="419"/>
      <c r="AI29" s="314"/>
      <c r="AJ29" s="314"/>
      <c r="AK29" s="314"/>
      <c r="AL29" s="314"/>
      <c r="AM29" s="314"/>
      <c r="AN29" s="314"/>
      <c r="AO29" s="314"/>
      <c r="AP29" s="314"/>
      <c r="AQ29" s="314"/>
      <c r="AR29" s="314"/>
      <c r="AS29" s="314"/>
      <c r="AT29" s="314"/>
      <c r="AU29" s="314"/>
      <c r="AV29" s="314"/>
      <c r="AW29" s="314"/>
      <c r="AX29" s="314"/>
      <c r="AY29" s="348"/>
      <c r="AZ29" s="315" t="s">
        <v>306</v>
      </c>
      <c r="BA29" s="317">
        <f>MAX(BA4:BA28)</f>
        <v>12708.797970821079</v>
      </c>
      <c r="BB29" s="316" t="s">
        <v>304</v>
      </c>
      <c r="BC29" s="313">
        <f>SUM(BC4:BC28)</f>
        <v>200</v>
      </c>
      <c r="BD29" s="304"/>
      <c r="BE29" s="304"/>
      <c r="BF29" s="304"/>
      <c r="BG29" s="304"/>
      <c r="BH29" s="304"/>
      <c r="BI29" s="304"/>
      <c r="BJ29" s="241"/>
      <c r="BK29" s="241"/>
      <c r="BL29" s="241"/>
      <c r="BM29" s="241"/>
      <c r="BN29" s="523" t="s">
        <v>18</v>
      </c>
      <c r="BO29" s="320">
        <f>AG40</f>
        <v>1.45</v>
      </c>
      <c r="BP29" s="170">
        <f>IF($AG$38="custom",AH40*(1-$BP$39),IF($AG$38="",BO29*(1-AG49),"error"))</f>
        <v>1.3774999999999999</v>
      </c>
      <c r="BQ29" s="366" t="s">
        <v>130</v>
      </c>
      <c r="BW29" s="5"/>
      <c r="BX29" s="27"/>
      <c r="BY29" s="255">
        <f>BX29+12</f>
        <v>12</v>
      </c>
      <c r="CF29"/>
      <c r="CL29" s="73">
        <f>BX29+15</f>
        <v>15</v>
      </c>
      <c r="CS29" s="255" t="s">
        <v>141</v>
      </c>
      <c r="CT29" s="37">
        <f>MAX(CT4:CT28)</f>
        <v>0.49011734664078455</v>
      </c>
      <c r="CU29" s="104"/>
      <c r="CY29" s="255"/>
      <c r="DL29" s="245">
        <f>SUM(DL4:DL27)</f>
        <v>200</v>
      </c>
      <c r="DM29" s="35">
        <f>SUM(DM5:DM28)</f>
        <v>-7151.3258494156134</v>
      </c>
      <c r="DN29" s="98">
        <f>DL29+DM29</f>
        <v>-6951.3258494156134</v>
      </c>
      <c r="EK29">
        <v>4</v>
      </c>
      <c r="EL29">
        <v>5</v>
      </c>
      <c r="EM29">
        <v>6</v>
      </c>
      <c r="EN29">
        <v>7</v>
      </c>
      <c r="EO29">
        <v>8</v>
      </c>
      <c r="EP29">
        <v>9</v>
      </c>
      <c r="EQ29">
        <v>10</v>
      </c>
      <c r="ER29">
        <v>11</v>
      </c>
      <c r="ES29">
        <v>12</v>
      </c>
      <c r="ET29">
        <v>13</v>
      </c>
      <c r="EU29">
        <v>14</v>
      </c>
      <c r="EV29">
        <v>15</v>
      </c>
      <c r="EW29">
        <v>16</v>
      </c>
      <c r="EX29">
        <v>17</v>
      </c>
      <c r="EY29">
        <v>18</v>
      </c>
      <c r="EZ29">
        <v>19</v>
      </c>
      <c r="FA29">
        <v>20</v>
      </c>
      <c r="FB29">
        <v>21</v>
      </c>
      <c r="FC29">
        <v>22</v>
      </c>
      <c r="FD29">
        <v>23</v>
      </c>
      <c r="FE29">
        <v>24</v>
      </c>
      <c r="FF29">
        <v>25</v>
      </c>
      <c r="FG29">
        <v>26</v>
      </c>
    </row>
    <row r="30" spans="1:163" ht="13" customHeight="1" x14ac:dyDescent="0.3">
      <c r="B30" s="491" t="s">
        <v>348</v>
      </c>
      <c r="C30" s="491"/>
      <c r="D30" s="491"/>
      <c r="E30" s="491"/>
      <c r="F30" s="491"/>
      <c r="G30" s="491"/>
      <c r="H30" s="491"/>
      <c r="I30" s="491"/>
      <c r="J30" s="491"/>
      <c r="K30" s="491"/>
      <c r="L30" s="491"/>
      <c r="M30" s="491"/>
      <c r="AF30" s="419"/>
      <c r="AG30" s="12"/>
      <c r="AH30" s="314"/>
      <c r="AI30" s="314"/>
      <c r="AJ30" s="314"/>
      <c r="AK30" s="314"/>
      <c r="AL30" s="314"/>
      <c r="AM30" s="314"/>
      <c r="AN30" s="314"/>
      <c r="AO30" s="314"/>
      <c r="AP30" s="314"/>
      <c r="AQ30" s="314"/>
      <c r="AR30" s="314"/>
      <c r="AS30" s="314"/>
      <c r="AT30" s="314"/>
      <c r="AU30" s="314"/>
      <c r="AV30" s="314"/>
      <c r="AW30" s="314"/>
      <c r="AX30" s="314"/>
      <c r="AY30" s="314"/>
      <c r="AZ30" s="314"/>
      <c r="BA30" s="64"/>
      <c r="BB30" s="298"/>
      <c r="BC30" s="64"/>
      <c r="BD30" s="64"/>
      <c r="BE30" s="64"/>
      <c r="BF30" s="64"/>
      <c r="BG30" s="64"/>
      <c r="BH30" s="64"/>
      <c r="BI30" s="64"/>
      <c r="BL30" s="11"/>
      <c r="BN30" s="523"/>
      <c r="BO30" s="320">
        <f t="shared" ref="BO30:BO35" si="71">AG41</f>
        <v>0.7</v>
      </c>
      <c r="BP30" s="61">
        <f t="shared" ref="BP30:BP35" si="72">IF($AG$38="custom",AH41,IF($AG$38="",BO30,"error"))</f>
        <v>0.7</v>
      </c>
      <c r="BQ30" s="366" t="s">
        <v>229</v>
      </c>
      <c r="BX30" s="5"/>
      <c r="BY30" s="92">
        <f>(1+(BP29*BP30))</f>
        <v>1.9642499999999998</v>
      </c>
      <c r="BZ30" s="374" t="s">
        <v>129</v>
      </c>
      <c r="CA30"/>
      <c r="CB30"/>
      <c r="CY30" s="374"/>
      <c r="EI30" t="s">
        <v>186</v>
      </c>
      <c r="EJ30" s="17">
        <f>BS4</f>
        <v>1</v>
      </c>
      <c r="EK30" s="17">
        <f>BS5</f>
        <v>1125</v>
      </c>
      <c r="EL30" s="17">
        <f>BS6</f>
        <v>1485</v>
      </c>
      <c r="EM30" s="17">
        <f>BS7</f>
        <v>3375</v>
      </c>
      <c r="EN30" s="17">
        <f>BS8</f>
        <v>4500</v>
      </c>
      <c r="EO30" s="17">
        <f>BS9</f>
        <v>9000</v>
      </c>
      <c r="EP30" s="17">
        <f>BS10</f>
        <v>13500</v>
      </c>
      <c r="EQ30" s="17">
        <f>BS11</f>
        <v>22500</v>
      </c>
      <c r="ER30" s="17">
        <f>BS12</f>
        <v>27000</v>
      </c>
      <c r="ES30" s="17">
        <f>BS13</f>
        <v>29250</v>
      </c>
      <c r="ET30" s="17">
        <f>BS14</f>
        <v>31500</v>
      </c>
      <c r="EU30" s="17">
        <f>BS15</f>
        <v>29250</v>
      </c>
      <c r="EV30" s="17">
        <f>BS16</f>
        <v>27000</v>
      </c>
      <c r="EW30" s="17">
        <f>BS17</f>
        <v>22500</v>
      </c>
      <c r="EX30" s="17">
        <f>BS18</f>
        <v>20250</v>
      </c>
      <c r="EY30" s="17">
        <f>BS19</f>
        <v>18000</v>
      </c>
      <c r="EZ30" s="17">
        <f>BS20</f>
        <v>15750</v>
      </c>
      <c r="FA30" s="17">
        <f>BS21</f>
        <v>18000</v>
      </c>
      <c r="FB30" s="17">
        <f>BS22</f>
        <v>9000</v>
      </c>
      <c r="FC30" s="17">
        <f>BS23</f>
        <v>2250</v>
      </c>
      <c r="FD30" s="17">
        <f>BS24</f>
        <v>1</v>
      </c>
      <c r="FE30" s="17">
        <f>BS25</f>
        <v>1</v>
      </c>
      <c r="FF30" s="17">
        <f>BS26</f>
        <v>1</v>
      </c>
      <c r="FG30" s="17">
        <f>BS27</f>
        <v>1</v>
      </c>
    </row>
    <row r="31" spans="1:163" ht="13" x14ac:dyDescent="0.25">
      <c r="B31" s="493" t="str">
        <f>'Colony Type'!B30</f>
        <v>D: Default colony in temperate climate, managed to prevent swarming (slight fall brood buildup)</v>
      </c>
      <c r="C31" s="493"/>
      <c r="D31" s="493"/>
      <c r="E31" s="493"/>
      <c r="F31" s="493"/>
      <c r="G31" s="493"/>
      <c r="H31" s="493"/>
      <c r="I31" s="493"/>
      <c r="J31" s="493"/>
      <c r="K31" s="493"/>
      <c r="L31" s="493"/>
      <c r="M31" s="493"/>
      <c r="AF31" s="419"/>
      <c r="AM31" s="386"/>
      <c r="AN31" s="386"/>
      <c r="AO31" s="386"/>
      <c r="AP31" s="386"/>
      <c r="AQ31" s="386"/>
      <c r="AR31" s="386"/>
      <c r="AS31" s="386"/>
      <c r="AT31" s="386"/>
      <c r="AU31" s="386"/>
      <c r="AV31" s="386"/>
      <c r="AW31" s="386"/>
      <c r="AX31" s="386"/>
      <c r="AY31" s="386"/>
      <c r="AZ31" s="421" t="str">
        <f>C21</f>
        <v>d</v>
      </c>
      <c r="BA31" s="394" t="s">
        <v>355</v>
      </c>
      <c r="BB31" s="386"/>
      <c r="BC31" s="386"/>
      <c r="BD31" s="386"/>
      <c r="BG31" s="524"/>
      <c r="BH31" s="524"/>
      <c r="BI31" s="524"/>
      <c r="BJ31" s="524"/>
      <c r="BK31" s="524"/>
      <c r="BL31" s="524"/>
      <c r="BM31" s="524"/>
      <c r="BN31" s="523" t="s">
        <v>19</v>
      </c>
      <c r="BO31" s="320">
        <f t="shared" si="71"/>
        <v>3.5</v>
      </c>
      <c r="BP31" s="170">
        <f t="shared" si="72"/>
        <v>3.5</v>
      </c>
      <c r="BQ31" s="366" t="s">
        <v>118</v>
      </c>
      <c r="BY31">
        <f>LN(BY30)</f>
        <v>0.67511049307379378</v>
      </c>
      <c r="BZ31" s="374" t="s">
        <v>128</v>
      </c>
      <c r="CA31"/>
      <c r="CB31"/>
      <c r="CC31"/>
      <c r="CD31" s="37"/>
      <c r="CE31" s="37"/>
      <c r="CH31" s="374"/>
      <c r="CN31" s="37"/>
      <c r="CX31" s="10"/>
      <c r="CY31" s="13"/>
      <c r="DH31" s="17"/>
      <c r="DV31" s="68"/>
      <c r="EI31" s="168" t="s">
        <v>184</v>
      </c>
      <c r="EJ31" s="2">
        <v>40544</v>
      </c>
      <c r="EK31" s="2">
        <v>40558</v>
      </c>
      <c r="EL31" s="2">
        <v>40575</v>
      </c>
      <c r="EM31" s="2">
        <v>40589</v>
      </c>
      <c r="EN31" s="2">
        <v>40603</v>
      </c>
      <c r="EO31" s="2">
        <v>40617</v>
      </c>
      <c r="EP31" s="2">
        <v>40634</v>
      </c>
      <c r="EQ31" s="2">
        <v>40648</v>
      </c>
      <c r="ER31" s="2">
        <v>40664</v>
      </c>
      <c r="ES31" s="2">
        <v>40678</v>
      </c>
      <c r="ET31" s="2">
        <v>40695</v>
      </c>
      <c r="EU31" s="2">
        <v>40709</v>
      </c>
      <c r="EV31" s="2">
        <v>40725</v>
      </c>
      <c r="EW31" s="2">
        <v>40739</v>
      </c>
      <c r="EX31" s="2">
        <v>40756</v>
      </c>
      <c r="EY31" s="2">
        <v>40770</v>
      </c>
      <c r="EZ31" s="2">
        <v>40787</v>
      </c>
      <c r="FA31" s="2">
        <v>40801</v>
      </c>
      <c r="FB31" s="2">
        <v>40817</v>
      </c>
      <c r="FC31" s="2">
        <v>40831</v>
      </c>
      <c r="FD31" s="2">
        <v>40848</v>
      </c>
      <c r="FE31" s="2">
        <v>40862</v>
      </c>
      <c r="FF31" s="2">
        <v>40878</v>
      </c>
      <c r="FG31" s="2">
        <v>40892</v>
      </c>
    </row>
    <row r="32" spans="1:163" ht="13" x14ac:dyDescent="0.3">
      <c r="B32" s="493"/>
      <c r="C32" s="493"/>
      <c r="D32" s="493"/>
      <c r="E32" s="493"/>
      <c r="F32" s="493"/>
      <c r="G32" s="493"/>
      <c r="H32" s="493"/>
      <c r="I32" s="493"/>
      <c r="J32" s="493"/>
      <c r="K32" s="493"/>
      <c r="L32" s="493"/>
      <c r="M32" s="493"/>
      <c r="AF32" s="419"/>
      <c r="AG32" s="12"/>
      <c r="AZ32" s="423">
        <f>C22</f>
        <v>100</v>
      </c>
      <c r="BA32" s="422" t="s">
        <v>357</v>
      </c>
      <c r="BB32" s="126"/>
      <c r="BC32" s="126"/>
      <c r="BD32" s="126"/>
      <c r="BF32" s="161"/>
      <c r="BN32" s="523"/>
      <c r="BO32" s="320">
        <f t="shared" si="71"/>
        <v>0.7</v>
      </c>
      <c r="BP32" s="61">
        <f t="shared" si="72"/>
        <v>0.7</v>
      </c>
      <c r="BQ32" s="366" t="s">
        <v>230</v>
      </c>
      <c r="BV32">
        <f>LN(1885/1160)/23</f>
        <v>2.1109035468769601E-2</v>
      </c>
      <c r="BY32" s="92">
        <f>(LN(1+(BP29*BP30)))/12</f>
        <v>5.6259207756149482E-2</v>
      </c>
      <c r="BZ32" t="s">
        <v>124</v>
      </c>
      <c r="CA32"/>
      <c r="CB32"/>
      <c r="CC32"/>
      <c r="CD32" s="37"/>
      <c r="CE32" s="37"/>
      <c r="CF32"/>
      <c r="CJ32" s="10"/>
      <c r="CX32" s="255"/>
      <c r="CY32" s="374"/>
      <c r="DV32" s="68"/>
      <c r="EI32" s="255" t="s">
        <v>180</v>
      </c>
      <c r="EJ32" s="204">
        <f>'Current version'!C20</f>
        <v>0</v>
      </c>
      <c r="EK32" s="204">
        <f>'Current version'!D20</f>
        <v>0</v>
      </c>
      <c r="EL32" s="204">
        <f>'Current version'!E20</f>
        <v>0</v>
      </c>
      <c r="EM32" s="204">
        <f>'Current version'!F20</f>
        <v>0</v>
      </c>
      <c r="EN32" s="204">
        <f>'Current version'!G20</f>
        <v>0</v>
      </c>
      <c r="EO32" s="204">
        <f>'Current version'!H20</f>
        <v>0</v>
      </c>
      <c r="EP32" s="204">
        <f>'Current version'!I20</f>
        <v>0</v>
      </c>
      <c r="EQ32" s="204">
        <f>'Current version'!J20</f>
        <v>0</v>
      </c>
      <c r="ER32" s="204">
        <f>'Current version'!K20</f>
        <v>0</v>
      </c>
      <c r="ES32" s="204">
        <f>'Current version'!L20</f>
        <v>0</v>
      </c>
      <c r="ET32" s="204">
        <f>'Current version'!M20</f>
        <v>0</v>
      </c>
      <c r="EU32" s="204">
        <f>'Current version'!N20</f>
        <v>0</v>
      </c>
      <c r="EV32" s="204">
        <f>'Current version'!O20</f>
        <v>0</v>
      </c>
      <c r="EW32" s="204">
        <f>'Current version'!P20</f>
        <v>0</v>
      </c>
      <c r="EX32" s="204">
        <f>'Current version'!Q20</f>
        <v>0</v>
      </c>
      <c r="EY32" s="204">
        <f>'Current version'!R20</f>
        <v>0</v>
      </c>
      <c r="EZ32" s="204">
        <f>'Current version'!S20</f>
        <v>0</v>
      </c>
      <c r="FA32" s="204">
        <f>'Current version'!T20</f>
        <v>0.95</v>
      </c>
      <c r="FB32" s="204">
        <f>'Current version'!U20</f>
        <v>0</v>
      </c>
      <c r="FC32" s="204">
        <f>'Current version'!V20</f>
        <v>0</v>
      </c>
      <c r="FD32" s="204">
        <f>'Current version'!W20</f>
        <v>0</v>
      </c>
      <c r="FE32" s="204">
        <f>'Current version'!X20</f>
        <v>0</v>
      </c>
      <c r="FF32" s="204">
        <f>'Current version'!Y20</f>
        <v>0</v>
      </c>
      <c r="FG32" s="204">
        <f>'Current version'!Z20</f>
        <v>0</v>
      </c>
    </row>
    <row r="33" spans="2:163" ht="13" x14ac:dyDescent="0.3">
      <c r="B33" s="493" t="str">
        <f>'Colony Type'!B58</f>
        <v>N: Nucleus colony, 5 frames of bees, 3 frames of brood, started 1 April</v>
      </c>
      <c r="C33" s="493"/>
      <c r="D33" s="493"/>
      <c r="E33" s="493"/>
      <c r="F33" s="493"/>
      <c r="G33" s="493"/>
      <c r="H33" s="493"/>
      <c r="I33" s="493"/>
      <c r="J33" s="493"/>
      <c r="K33" s="493"/>
      <c r="L33" s="493"/>
      <c r="M33" s="493"/>
      <c r="AF33" s="395"/>
      <c r="AZ33" s="423">
        <f>C23</f>
        <v>1</v>
      </c>
      <c r="BA33" s="6" t="s">
        <v>356</v>
      </c>
      <c r="BB33"/>
      <c r="BO33" s="359">
        <f t="shared" si="71"/>
        <v>5.0000000000000001E-3</v>
      </c>
      <c r="BP33" s="61">
        <f t="shared" si="72"/>
        <v>5.0000000000000001E-3</v>
      </c>
      <c r="BQ33" s="366" t="s">
        <v>330</v>
      </c>
      <c r="BV33">
        <f>1160*EXP(BV32*45)</f>
        <v>2999.1430600487124</v>
      </c>
      <c r="BY33" s="92">
        <f>12/17*BY32+5/17*BV37</f>
        <v>3.823810493859249E-2</v>
      </c>
      <c r="BZ33" s="255" t="s">
        <v>123</v>
      </c>
      <c r="CA33"/>
      <c r="CB33"/>
      <c r="CC33"/>
      <c r="CD33" s="37"/>
      <c r="CE33" s="37"/>
      <c r="CH33" s="54"/>
      <c r="CI33" s="54"/>
      <c r="CJ33" s="55"/>
      <c r="CR33" s="14"/>
      <c r="CS33" s="15"/>
      <c r="CT33" s="15"/>
      <c r="CU33" s="15"/>
      <c r="CV33" s="15"/>
      <c r="CW33" s="366"/>
      <c r="CX33" s="255"/>
      <c r="CY33" s="374"/>
      <c r="DE33" s="17"/>
      <c r="DF33" s="17"/>
      <c r="DG33" s="17"/>
      <c r="DH33" s="17"/>
      <c r="DI33" s="17"/>
      <c r="DJ33" s="17"/>
      <c r="DK33" s="17"/>
      <c r="DL33" s="31"/>
      <c r="EI33" s="272">
        <f t="shared" ref="EI33:EI56" si="73">AZ4</f>
        <v>40544</v>
      </c>
      <c r="EJ33" s="162">
        <f>DE4</f>
        <v>100</v>
      </c>
      <c r="EK33" s="17">
        <f>EJ33*(1-EJ$32)*EXP($BV$38*15)</f>
        <v>91.368346592039458</v>
      </c>
      <c r="EL33" s="17">
        <f t="shared" ref="EL33:FA48" si="74">EK33*(1-EK$32)*EXP($BV$38*15)</f>
        <v>83.481747589630487</v>
      </c>
      <c r="EM33" s="17">
        <f t="shared" si="74"/>
        <v>76.275892478785138</v>
      </c>
      <c r="EN33" s="17">
        <f t="shared" si="74"/>
        <v>69.692021806187768</v>
      </c>
      <c r="EO33" s="164">
        <f t="shared" si="74"/>
        <v>63.67644803087736</v>
      </c>
      <c r="EP33" s="164">
        <f t="shared" si="74"/>
        <v>58.18011773435191</v>
      </c>
      <c r="EQ33" s="164">
        <f t="shared" si="74"/>
        <v>53.158211619179269</v>
      </c>
      <c r="ER33" s="164">
        <f t="shared" si="74"/>
        <v>48.569779034341508</v>
      </c>
      <c r="ES33" s="164">
        <f t="shared" si="74"/>
        <v>44.377404047084866</v>
      </c>
      <c r="ET33" s="164">
        <f t="shared" si="74"/>
        <v>40.54690033829025</v>
      </c>
      <c r="EU33" s="164">
        <f t="shared" si="74"/>
        <v>37.047032433417854</v>
      </c>
      <c r="EV33" s="164">
        <f t="shared" si="74"/>
        <v>33.849260995830498</v>
      </c>
      <c r="EW33" s="164">
        <f t="shared" si="74"/>
        <v>30.92751010551444</v>
      </c>
      <c r="EX33" s="164">
        <f t="shared" si="74"/>
        <v>28.257954625494463</v>
      </c>
      <c r="EY33" s="164">
        <f t="shared" si="74"/>
        <v>25.818825922043029</v>
      </c>
      <c r="EZ33" s="164">
        <f t="shared" si="74"/>
        <v>23.590234354447603</v>
      </c>
      <c r="FA33" s="164">
        <f t="shared" si="74"/>
        <v>21.554007086846049</v>
      </c>
      <c r="FB33" s="164">
        <f t="shared" ref="FB33:FG48" si="75">FA33*(1-FA$32)*EXP($BV$38*15)</f>
        <v>0.98467699497911321</v>
      </c>
      <c r="FC33" s="164">
        <f t="shared" si="75"/>
        <v>0.8996830895845952</v>
      </c>
      <c r="FD33" s="164">
        <f t="shared" si="75"/>
        <v>0.82202556352162182</v>
      </c>
      <c r="FE33" s="164">
        <f t="shared" si="75"/>
        <v>0.75107116595360091</v>
      </c>
      <c r="FF33" s="164">
        <f t="shared" si="75"/>
        <v>0.68624130606135791</v>
      </c>
      <c r="FG33" s="164">
        <f t="shared" si="75"/>
        <v>0.62700733497987982</v>
      </c>
    </row>
    <row r="34" spans="2:163" ht="13" x14ac:dyDescent="0.3">
      <c r="B34" s="492" t="str">
        <f>'Colony Type'!B86</f>
        <v>P: Package bee colony (3 lb), installed on drawn comb and fed well</v>
      </c>
      <c r="C34" s="492"/>
      <c r="D34" s="492"/>
      <c r="E34" s="492"/>
      <c r="F34" s="492"/>
      <c r="G34" s="492"/>
      <c r="H34" s="492"/>
      <c r="I34" s="492"/>
      <c r="J34" s="492"/>
      <c r="K34" s="492"/>
      <c r="L34" s="492"/>
      <c r="M34" s="492"/>
      <c r="BA34" s="64"/>
      <c r="BE34" s="64"/>
      <c r="BO34" s="359">
        <f t="shared" si="71"/>
        <v>6.0000000000000001E-3</v>
      </c>
      <c r="BP34" s="61">
        <f t="shared" si="72"/>
        <v>6.0000000000000001E-3</v>
      </c>
      <c r="BQ34" s="366" t="s">
        <v>331</v>
      </c>
      <c r="BW34"/>
      <c r="BX34"/>
      <c r="CA34"/>
      <c r="CB34"/>
      <c r="CC34"/>
      <c r="CD34" s="37"/>
      <c r="CE34" s="37"/>
      <c r="CH34"/>
      <c r="CI34"/>
      <c r="CJ34" s="55"/>
      <c r="CR34" s="14"/>
      <c r="CS34" s="15"/>
      <c r="CT34" s="15"/>
      <c r="CU34" s="15"/>
      <c r="CV34" s="15"/>
      <c r="CW34" s="366"/>
      <c r="CX34" s="255"/>
      <c r="CY34" s="374"/>
      <c r="DE34" s="17"/>
      <c r="DF34" s="17"/>
      <c r="DG34" s="17"/>
      <c r="DH34" s="17"/>
      <c r="DI34" s="17"/>
      <c r="DJ34" s="17"/>
      <c r="DK34" s="17"/>
      <c r="DL34" s="31"/>
      <c r="EI34" s="272">
        <f t="shared" si="73"/>
        <v>40558</v>
      </c>
      <c r="EK34" s="162">
        <f>EI5</f>
        <v>15.609319551891964</v>
      </c>
      <c r="EL34" s="17">
        <f t="shared" si="74"/>
        <v>14.261977188831631</v>
      </c>
      <c r="EM34" s="17">
        <f t="shared" si="74"/>
        <v>13.030932748769292</v>
      </c>
      <c r="EN34" s="17">
        <f t="shared" si="74"/>
        <v>11.906147798071101</v>
      </c>
      <c r="EO34" s="17">
        <f t="shared" si="74"/>
        <v>10.878450385902079</v>
      </c>
      <c r="EP34" s="164">
        <f t="shared" si="74"/>
        <v>9.9394602524340652</v>
      </c>
      <c r="EQ34" s="164">
        <f>EP34*(1-EP$32)*EXP($BV$38*15)</f>
        <v>9.0815204928219568</v>
      </c>
      <c r="ER34" s="164">
        <f t="shared" si="74"/>
        <v>8.2976351197086551</v>
      </c>
      <c r="ES34" s="164">
        <f t="shared" si="74"/>
        <v>7.5814120151181923</v>
      </c>
      <c r="ET34" s="164">
        <f t="shared" si="74"/>
        <v>6.9270108065437128</v>
      </c>
      <c r="EU34" s="164">
        <f t="shared" si="74"/>
        <v>6.3290952421908875</v>
      </c>
      <c r="EV34" s="164">
        <f t="shared" si="74"/>
        <v>5.7827896770252494</v>
      </c>
      <c r="EW34" s="164">
        <f t="shared" si="74"/>
        <v>5.2836393147931089</v>
      </c>
      <c r="EX34" s="164">
        <f t="shared" si="74"/>
        <v>4.8275738818134268</v>
      </c>
      <c r="EY34" s="164">
        <f t="shared" si="74"/>
        <v>4.4108744363220653</v>
      </c>
      <c r="EZ34" s="164">
        <f t="shared" si="74"/>
        <v>4.0301430427184117</v>
      </c>
      <c r="FA34" s="164">
        <f t="shared" si="74"/>
        <v>3.6822750634259234</v>
      </c>
      <c r="FB34" s="164">
        <f t="shared" si="75"/>
        <v>0.16822169212116209</v>
      </c>
      <c r="FC34" s="164">
        <f t="shared" si="75"/>
        <v>0.15370137870025691</v>
      </c>
      <c r="FD34" s="164">
        <f t="shared" si="75"/>
        <v>0.14043440840759386</v>
      </c>
      <c r="FE34" s="164">
        <f t="shared" si="75"/>
        <v>0.12831259700833056</v>
      </c>
      <c r="FF34" s="164">
        <f t="shared" si="75"/>
        <v>0.11723709835581832</v>
      </c>
      <c r="FG34" s="164">
        <f t="shared" si="75"/>
        <v>0.10711759836019427</v>
      </c>
    </row>
    <row r="35" spans="2:163" ht="13" x14ac:dyDescent="0.3">
      <c r="B35" s="487" t="str">
        <f>'Colony Type'!B114</f>
        <v>A: Subtropical colony, dry climate; no winter brood break--Southern California</v>
      </c>
      <c r="C35" s="487"/>
      <c r="D35" s="487"/>
      <c r="E35" s="487"/>
      <c r="F35" s="487"/>
      <c r="G35" s="487"/>
      <c r="H35" s="487"/>
      <c r="I35" s="487"/>
      <c r="J35" s="487"/>
      <c r="K35" s="488"/>
      <c r="L35" s="489"/>
      <c r="M35" s="490"/>
      <c r="AG35" s="525" t="s">
        <v>359</v>
      </c>
      <c r="AH35" s="525"/>
      <c r="AI35" s="525"/>
      <c r="AJ35" s="525"/>
      <c r="AK35" s="525"/>
      <c r="AL35" s="525"/>
      <c r="AM35" s="525"/>
      <c r="AN35" s="525"/>
      <c r="AO35" s="525"/>
      <c r="AP35" s="525"/>
      <c r="AQ35" s="525"/>
      <c r="AR35" s="525"/>
      <c r="AS35" s="525"/>
      <c r="AT35" s="525"/>
      <c r="AU35" s="525"/>
      <c r="AV35" s="525"/>
      <c r="AW35" s="525"/>
      <c r="AX35" s="525"/>
      <c r="AY35" s="525"/>
      <c r="BB35"/>
      <c r="BN35" s="60"/>
      <c r="BO35" s="320">
        <f t="shared" si="71"/>
        <v>0.6</v>
      </c>
      <c r="BP35" s="170">
        <f t="shared" si="72"/>
        <v>0.6</v>
      </c>
      <c r="BQ35" s="366" t="s">
        <v>132</v>
      </c>
      <c r="CA35"/>
      <c r="CB35"/>
      <c r="CD35" s="37"/>
      <c r="CE35" s="37"/>
      <c r="CH35"/>
      <c r="CI35"/>
      <c r="CJ35" s="55"/>
      <c r="CR35" s="14"/>
      <c r="CS35" s="15"/>
      <c r="CT35" s="15"/>
      <c r="CU35" s="15"/>
      <c r="CV35" s="15"/>
      <c r="CW35" s="366"/>
      <c r="CX35" s="255"/>
      <c r="DE35" s="17"/>
      <c r="DF35" s="17"/>
      <c r="DG35" s="17"/>
      <c r="DH35" s="17"/>
      <c r="DI35" s="17"/>
      <c r="DJ35" s="17"/>
      <c r="DK35" s="17"/>
      <c r="DL35" s="31"/>
      <c r="EI35" s="272">
        <f t="shared" si="73"/>
        <v>40575</v>
      </c>
      <c r="EL35" s="162">
        <f>EI6</f>
        <v>35.782676229362181</v>
      </c>
      <c r="EM35" s="17">
        <f t="shared" si="74"/>
        <v>32.694039637150958</v>
      </c>
      <c r="EN35" s="17">
        <f t="shared" si="74"/>
        <v>29.872003450610848</v>
      </c>
      <c r="EO35" s="17">
        <f t="shared" si="74"/>
        <v>27.293555646740106</v>
      </c>
      <c r="EP35" s="17">
        <f t="shared" si="74"/>
        <v>24.937670520604659</v>
      </c>
      <c r="EQ35" s="164">
        <f t="shared" si="74"/>
        <v>22.785137233246918</v>
      </c>
      <c r="ER35" s="164">
        <f t="shared" si="74"/>
        <v>20.818403158744875</v>
      </c>
      <c r="ES35" s="164">
        <f t="shared" si="74"/>
        <v>19.021430753010108</v>
      </c>
      <c r="ET35" s="164">
        <f t="shared" si="74"/>
        <v>17.379566777175057</v>
      </c>
      <c r="EU35" s="164">
        <f t="shared" si="74"/>
        <v>15.879422809164248</v>
      </c>
      <c r="EV35" s="164">
        <f t="shared" si="74"/>
        <v>14.508766069092559</v>
      </c>
      <c r="EW35" s="164">
        <f t="shared" si="74"/>
        <v>13.25641966823671</v>
      </c>
      <c r="EX35" s="164">
        <f t="shared" si="74"/>
        <v>12.112171468169805</v>
      </c>
      <c r="EY35" s="164">
        <f t="shared" si="74"/>
        <v>11.066690806859503</v>
      </c>
      <c r="EZ35" s="164">
        <f t="shared" si="74"/>
        <v>10.111452412680759</v>
      </c>
      <c r="FA35" s="164">
        <f t="shared" si="74"/>
        <v>9.2386668859072927</v>
      </c>
      <c r="FB35" s="164">
        <f t="shared" si="75"/>
        <v>0.42206085903998808</v>
      </c>
      <c r="FC35" s="164">
        <f t="shared" si="75"/>
        <v>0.3856300285169954</v>
      </c>
      <c r="FD35" s="164">
        <f t="shared" si="75"/>
        <v>0.35234378101838898</v>
      </c>
      <c r="FE35" s="164">
        <f t="shared" si="75"/>
        <v>0.32193068703637817</v>
      </c>
      <c r="FF35" s="164">
        <f t="shared" si="75"/>
        <v>0.29414274591753187</v>
      </c>
      <c r="FG35" s="164">
        <f t="shared" si="75"/>
        <v>0.26875336356527252</v>
      </c>
    </row>
    <row r="36" spans="2:163" ht="13" customHeight="1" x14ac:dyDescent="0.3">
      <c r="B36" s="492" t="str">
        <f>'Colony Type'!B142</f>
        <v>B: High latitude colony--short summer, long winter brood break</v>
      </c>
      <c r="C36" s="492"/>
      <c r="D36" s="492"/>
      <c r="E36" s="492"/>
      <c r="F36" s="492"/>
      <c r="G36" s="492"/>
      <c r="H36" s="492"/>
      <c r="I36" s="492"/>
      <c r="J36" s="492"/>
      <c r="K36" s="492"/>
      <c r="L36" s="492"/>
      <c r="M36" s="492"/>
      <c r="AG36" s="358" t="s">
        <v>329</v>
      </c>
      <c r="BB36"/>
      <c r="BO36" s="12"/>
      <c r="BP36">
        <v>15.208333333333334</v>
      </c>
      <c r="BQ36" s="234" t="s">
        <v>286</v>
      </c>
      <c r="BU36" t="s">
        <v>208</v>
      </c>
      <c r="CA36"/>
      <c r="CB36"/>
      <c r="CD36" s="37"/>
      <c r="CE36" s="37"/>
      <c r="CH36"/>
      <c r="CI36"/>
      <c r="CJ36" s="55"/>
      <c r="CQ36" s="37"/>
      <c r="CR36" s="14"/>
      <c r="CS36" s="15"/>
      <c r="CT36" s="15"/>
      <c r="CU36" s="15"/>
      <c r="CV36" s="15"/>
      <c r="CW36" s="366"/>
      <c r="CX36" s="255"/>
      <c r="DE36" s="17"/>
      <c r="DF36" s="17"/>
      <c r="DG36" s="17"/>
      <c r="DH36" s="17"/>
      <c r="DI36" s="17"/>
      <c r="DJ36" s="17"/>
      <c r="DK36" s="17"/>
      <c r="DL36" s="31"/>
      <c r="EI36" s="272">
        <f t="shared" si="73"/>
        <v>40589</v>
      </c>
      <c r="EM36" s="162">
        <f>EI7</f>
        <v>55.543202415448647</v>
      </c>
      <c r="EN36" s="17">
        <f t="shared" si="74"/>
        <v>50.748905691265151</v>
      </c>
      <c r="EO36" s="17">
        <f t="shared" si="74"/>
        <v>46.368436043662385</v>
      </c>
      <c r="EP36" s="17">
        <f t="shared" si="74"/>
        <v>42.3660733536816</v>
      </c>
      <c r="EQ36" s="17">
        <f t="shared" si="74"/>
        <v>38.709180739229481</v>
      </c>
      <c r="ER36" s="164">
        <f t="shared" si="74"/>
        <v>35.367938420758172</v>
      </c>
      <c r="ES36" s="164">
        <f t="shared" si="74"/>
        <v>32.315100558737413</v>
      </c>
      <c r="ET36" s="164">
        <f t="shared" si="74"/>
        <v>29.525773080073279</v>
      </c>
      <c r="EU36" s="164">
        <f t="shared" si="74"/>
        <v>26.977210681780438</v>
      </c>
      <c r="EV36" s="164">
        <f t="shared" si="74"/>
        <v>24.648631356593842</v>
      </c>
      <c r="EW36" s="164">
        <f t="shared" si="74"/>
        <v>22.521046928086779</v>
      </c>
      <c r="EX36" s="164">
        <f t="shared" si="74"/>
        <v>20.577108213410185</v>
      </c>
      <c r="EY36" s="164">
        <f t="shared" si="74"/>
        <v>18.800963551047637</v>
      </c>
      <c r="EZ36" s="164">
        <f t="shared" si="74"/>
        <v>17.178129539964214</v>
      </c>
      <c r="FA36" s="164">
        <f t="shared" si="74"/>
        <v>15.695372936104016</v>
      </c>
      <c r="FB36" s="164">
        <f t="shared" si="75"/>
        <v>0.71703013715863451</v>
      </c>
      <c r="FC36" s="164">
        <f t="shared" si="75"/>
        <v>0.6551385808884771</v>
      </c>
      <c r="FD36" s="164">
        <f t="shared" si="75"/>
        <v>0.59858928924435251</v>
      </c>
      <c r="FE36" s="164">
        <f t="shared" si="75"/>
        <v>0.54692113645960561</v>
      </c>
      <c r="FF36" s="164">
        <f t="shared" si="75"/>
        <v>0.49971279954553355</v>
      </c>
      <c r="FG36" s="164">
        <f t="shared" si="75"/>
        <v>0.4565793226535465</v>
      </c>
    </row>
    <row r="37" spans="2:163" ht="13" customHeight="1" x14ac:dyDescent="0.3">
      <c r="B37" s="493" t="str">
        <f>'Colony Type'!B170</f>
        <v>C: California 8-frame almond colony shaken twice in April.   Enter a 25% "treatment" in April to account for mites lost on shook bees</v>
      </c>
      <c r="C37" s="493"/>
      <c r="D37" s="493"/>
      <c r="E37" s="493"/>
      <c r="F37" s="493"/>
      <c r="G37" s="493"/>
      <c r="H37" s="493"/>
      <c r="I37" s="493"/>
      <c r="J37" s="493"/>
      <c r="K37" s="493"/>
      <c r="L37" s="493"/>
      <c r="M37" s="493"/>
      <c r="AG37" s="6" t="s">
        <v>200</v>
      </c>
      <c r="AH37" s="399"/>
      <c r="BF37" s="66"/>
      <c r="BO37" s="385">
        <v>0.5</v>
      </c>
      <c r="BP37" s="382">
        <v>0.5</v>
      </c>
      <c r="BQ37" s="366" t="s">
        <v>333</v>
      </c>
      <c r="BV37" s="85">
        <f>LN(1-BP33)</f>
        <v>-5.0125418235442863E-3</v>
      </c>
      <c r="BW37" s="374" t="s">
        <v>175</v>
      </c>
      <c r="CD37" s="30"/>
      <c r="CE37" s="30"/>
      <c r="CH37"/>
      <c r="CI37"/>
      <c r="CJ37" s="55"/>
      <c r="CQ37" s="37"/>
      <c r="CR37" s="14"/>
      <c r="CS37" s="15"/>
      <c r="CT37" s="15"/>
      <c r="CU37" s="15"/>
      <c r="CV37" s="15"/>
      <c r="CW37" s="366"/>
      <c r="CX37" s="255"/>
      <c r="DL37" s="31"/>
      <c r="EI37" s="272">
        <f t="shared" si="73"/>
        <v>40603</v>
      </c>
      <c r="EN37" s="162">
        <f>EI8</f>
        <v>76.617436997591824</v>
      </c>
      <c r="EO37" s="17">
        <f>EN37*(1-EN$32)*EXP($BV$38*15)</f>
        <v>70.00408538589717</v>
      </c>
      <c r="EP37" s="17">
        <f t="shared" si="74"/>
        <v>63.961575363973772</v>
      </c>
      <c r="EQ37" s="17">
        <f t="shared" si="74"/>
        <v>58.440633864284081</v>
      </c>
      <c r="ER37" s="17">
        <f t="shared" si="74"/>
        <v>53.396240899703862</v>
      </c>
      <c r="ES37" s="164">
        <f t="shared" si="74"/>
        <v>48.787262452361752</v>
      </c>
      <c r="ET37" s="164">
        <f t="shared" si="74"/>
        <v>44.576115050241818</v>
      </c>
      <c r="EU37" s="164">
        <f t="shared" si="74"/>
        <v>40.728459296371213</v>
      </c>
      <c r="EV37" s="164">
        <f t="shared" si="74"/>
        <v>37.212919851506165</v>
      </c>
      <c r="EW37" s="164">
        <f t="shared" si="74"/>
        <v>34.000829586942011</v>
      </c>
      <c r="EX37" s="164">
        <f t="shared" si="74"/>
        <v>31.065995821165878</v>
      </c>
      <c r="EY37" s="164">
        <f t="shared" si="74"/>
        <v>28.384486734151334</v>
      </c>
      <c r="EZ37" s="164">
        <f t="shared" si="74"/>
        <v>25.934436217630854</v>
      </c>
      <c r="FA37" s="164">
        <f t="shared" si="74"/>
        <v>23.69586557001637</v>
      </c>
      <c r="FB37" s="164">
        <f t="shared" si="75"/>
        <v>1.0825260290998162</v>
      </c>
      <c r="FC37" s="164">
        <f t="shared" si="75"/>
        <v>0.98908613421696201</v>
      </c>
      <c r="FD37" s="164">
        <f t="shared" si="75"/>
        <v>0.90371164720515851</v>
      </c>
      <c r="FE37" s="164">
        <f t="shared" si="75"/>
        <v>0.82570639001103818</v>
      </c>
      <c r="FF37" s="164">
        <f t="shared" si="75"/>
        <v>0.75443427625790249</v>
      </c>
      <c r="FG37" s="164">
        <f t="shared" si="75"/>
        <v>0.6893141243404648</v>
      </c>
    </row>
    <row r="38" spans="2:163" ht="13" customHeight="1" x14ac:dyDescent="0.3">
      <c r="B38" s="493"/>
      <c r="C38" s="493"/>
      <c r="D38" s="493"/>
      <c r="E38" s="493"/>
      <c r="F38" s="493"/>
      <c r="G38" s="493"/>
      <c r="H38" s="493"/>
      <c r="I38" s="493"/>
      <c r="J38" s="493"/>
      <c r="K38" s="493"/>
      <c r="L38" s="493"/>
      <c r="M38" s="493"/>
      <c r="AG38" s="526"/>
      <c r="AH38" s="527"/>
      <c r="AI38" t="s">
        <v>358</v>
      </c>
      <c r="BD38" t="s">
        <v>208</v>
      </c>
      <c r="BG38" s="235"/>
      <c r="BO38" s="385">
        <v>7.0000000000000007E-2</v>
      </c>
      <c r="BP38" s="382">
        <v>7.0000000000000007E-2</v>
      </c>
      <c r="BQ38" s="366" t="s">
        <v>232</v>
      </c>
      <c r="BV38" s="85">
        <f>LN(1-BP34)</f>
        <v>-6.0180723255630212E-3</v>
      </c>
      <c r="BW38" s="374" t="s">
        <v>210</v>
      </c>
      <c r="CD38" s="30"/>
      <c r="CE38" s="30"/>
      <c r="CG38" s="58"/>
      <c r="CH38"/>
      <c r="CI38"/>
      <c r="CJ38" s="55"/>
      <c r="CQ38" s="37"/>
      <c r="CR38" s="14"/>
      <c r="CS38" s="15"/>
      <c r="CT38" s="15"/>
      <c r="CU38" s="15"/>
      <c r="CV38" s="15"/>
      <c r="CW38" s="366"/>
      <c r="CX38" s="255"/>
      <c r="DL38" s="31"/>
      <c r="EI38" s="272">
        <f t="shared" si="73"/>
        <v>40617</v>
      </c>
      <c r="EO38" s="162">
        <f>EI9</f>
        <v>131.51966238722233</v>
      </c>
      <c r="EP38" s="17">
        <f t="shared" si="74"/>
        <v>120.16734096663745</v>
      </c>
      <c r="EQ38" s="17">
        <f t="shared" si="74"/>
        <v>109.79491258483513</v>
      </c>
      <c r="ER38" s="17">
        <f t="shared" si="74"/>
        <v>100.31779627093891</v>
      </c>
      <c r="ES38" s="17">
        <f t="shared" si="74"/>
        <v>91.658711790327501</v>
      </c>
      <c r="ET38" s="164">
        <f t="shared" si="74"/>
        <v>83.747049470384965</v>
      </c>
      <c r="EU38" s="164">
        <f t="shared" si="74"/>
        <v>76.518294420708088</v>
      </c>
      <c r="EV38" s="164">
        <f t="shared" si="74"/>
        <v>69.913500452629762</v>
      </c>
      <c r="EW38" s="164">
        <f t="shared" si="74"/>
        <v>63.878809408185838</v>
      </c>
      <c r="EX38" s="164">
        <f t="shared" si="74"/>
        <v>58.365011978939549</v>
      </c>
      <c r="EY38" s="164">
        <f t="shared" si="74"/>
        <v>53.327146433402838</v>
      </c>
      <c r="EZ38" s="164">
        <f t="shared" si="74"/>
        <v>48.724131980915914</v>
      </c>
      <c r="FA38" s="164">
        <f t="shared" si="74"/>
        <v>44.518433782285996</v>
      </c>
      <c r="FB38" s="164">
        <f t="shared" si="75"/>
        <v>2.0337878437773345</v>
      </c>
      <c r="FC38" s="164">
        <f t="shared" si="75"/>
        <v>1.858238326049241</v>
      </c>
      <c r="FD38" s="164">
        <f t="shared" si="75"/>
        <v>1.6978416342507829</v>
      </c>
      <c r="FE38" s="164">
        <f t="shared" si="75"/>
        <v>1.5512898289662023</v>
      </c>
      <c r="FF38" s="164">
        <f t="shared" si="75"/>
        <v>1.4173878675768958</v>
      </c>
      <c r="FG38" s="164">
        <f t="shared" si="75"/>
        <v>1.2950438594011755</v>
      </c>
    </row>
    <row r="39" spans="2:163" ht="13" customHeight="1" x14ac:dyDescent="0.3">
      <c r="B39" s="493" t="str">
        <f>'Colony Type'!B198</f>
        <v>R: Randy's California hives, split 4 ways after almonds and oxalic'd (enter a total 90% mite reduction on Apr 1 from splitting 4 ways, oxalic trtmt &amp; drone frame removal)</v>
      </c>
      <c r="C39" s="493"/>
      <c r="D39" s="493"/>
      <c r="E39" s="493"/>
      <c r="F39" s="493"/>
      <c r="G39" s="493"/>
      <c r="H39" s="493"/>
      <c r="I39" s="493"/>
      <c r="J39" s="493"/>
      <c r="K39" s="493"/>
      <c r="L39" s="493"/>
      <c r="M39" s="493"/>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Y39" t="s">
        <v>253</v>
      </c>
      <c r="BG39" s="235"/>
      <c r="BO39" s="321">
        <f>AG49</f>
        <v>0.05</v>
      </c>
      <c r="BP39" s="170">
        <f>IF($AG$38="custom",AH49,IF($AG$38="",BO39,"error"))</f>
        <v>0.05</v>
      </c>
      <c r="BQ39" s="366" t="s">
        <v>307</v>
      </c>
      <c r="BU39" s="12"/>
      <c r="CD39" s="37"/>
      <c r="CE39" s="37"/>
      <c r="CH39" s="20"/>
      <c r="CI39" s="20"/>
      <c r="CJ39" s="99"/>
      <c r="CQ39" s="37"/>
      <c r="CR39" s="14"/>
      <c r="CS39" s="15"/>
      <c r="CT39" s="15"/>
      <c r="CU39" s="15"/>
      <c r="CV39" s="15"/>
      <c r="CW39" s="366"/>
      <c r="CX39" s="255"/>
      <c r="DL39" s="31"/>
      <c r="EI39" s="272">
        <f t="shared" si="73"/>
        <v>40634</v>
      </c>
      <c r="EP39" s="162">
        <f>EI10</f>
        <v>231.89755521436854</v>
      </c>
      <c r="EQ39" s="17">
        <f t="shared" si="74"/>
        <v>211.88096198673031</v>
      </c>
      <c r="ER39" s="17">
        <f t="shared" si="74"/>
        <v>193.59213171058315</v>
      </c>
      <c r="ES39" s="17">
        <f t="shared" si="74"/>
        <v>176.88192987624313</v>
      </c>
      <c r="ET39" s="17">
        <f t="shared" si="74"/>
        <v>161.61409474801403</v>
      </c>
      <c r="EU39" s="164">
        <f t="shared" si="74"/>
        <v>147.66412623095249</v>
      </c>
      <c r="EV39" s="164">
        <f t="shared" si="74"/>
        <v>134.91827064680334</v>
      </c>
      <c r="EW39" s="164">
        <f t="shared" si="74"/>
        <v>123.27259314055712</v>
      </c>
      <c r="EX39" s="164">
        <f t="shared" si="74"/>
        <v>112.63213015365889</v>
      </c>
      <c r="EY39" s="164">
        <f t="shared" si="74"/>
        <v>102.91011505279205</v>
      </c>
      <c r="EZ39" s="164">
        <f t="shared" si="74"/>
        <v>94.027270599701609</v>
      </c>
      <c r="FA39" s="164">
        <f t="shared" si="74"/>
        <v>85.911162492570185</v>
      </c>
      <c r="FB39" s="164">
        <f t="shared" si="75"/>
        <v>3.9247804353730897</v>
      </c>
      <c r="FC39" s="164">
        <f t="shared" si="75"/>
        <v>3.5860069911682402</v>
      </c>
      <c r="FD39" s="164">
        <f t="shared" si="75"/>
        <v>3.2764752965053638</v>
      </c>
      <c r="FE39" s="164">
        <f t="shared" si="75"/>
        <v>2.9936613049135734</v>
      </c>
      <c r="FF39" s="164">
        <f t="shared" si="75"/>
        <v>2.7352588368652051</v>
      </c>
      <c r="FG39" s="164">
        <f t="shared" si="75"/>
        <v>2.4991607742563877</v>
      </c>
    </row>
    <row r="40" spans="2:163" ht="12.75" customHeight="1" x14ac:dyDescent="0.3">
      <c r="B40" s="493"/>
      <c r="C40" s="493"/>
      <c r="D40" s="493"/>
      <c r="E40" s="493"/>
      <c r="F40" s="493"/>
      <c r="G40" s="493"/>
      <c r="H40" s="493"/>
      <c r="I40" s="493"/>
      <c r="J40" s="493"/>
      <c r="K40" s="493"/>
      <c r="L40" s="493"/>
      <c r="M40" s="493"/>
      <c r="AG40" s="120">
        <v>1.45</v>
      </c>
      <c r="AH40" s="318">
        <v>0.73</v>
      </c>
      <c r="AI40" s="366" t="s">
        <v>338</v>
      </c>
      <c r="AY40" s="363" t="s">
        <v>208</v>
      </c>
      <c r="AZ40" s="528">
        <f>IF(AG38="custom", AH40*AH41,AG40*AG41)</f>
        <v>1.0149999999999999</v>
      </c>
      <c r="BA40" s="529" t="s">
        <v>194</v>
      </c>
      <c r="BB40" s="530"/>
      <c r="BC40" s="530"/>
      <c r="BD40" s="530"/>
      <c r="BE40" s="530"/>
      <c r="BF40" s="531"/>
      <c r="BG40" s="235"/>
      <c r="CD40" s="37"/>
      <c r="CE40" s="37"/>
      <c r="CH40" s="12"/>
      <c r="CI40" s="12"/>
      <c r="CJ40" s="55"/>
      <c r="CQ40" s="37"/>
      <c r="CR40" s="14"/>
      <c r="CS40" s="15"/>
      <c r="CT40" s="15"/>
      <c r="CU40" s="15"/>
      <c r="CV40" s="15"/>
      <c r="CW40" s="366"/>
      <c r="CX40" s="255"/>
      <c r="DL40" s="31"/>
      <c r="EI40" s="272">
        <f t="shared" si="73"/>
        <v>40648</v>
      </c>
      <c r="EQ40" s="162">
        <f>EI11</f>
        <v>349.85228121311002</v>
      </c>
      <c r="ER40" s="17">
        <f t="shared" si="74"/>
        <v>319.6542448589509</v>
      </c>
      <c r="ES40" s="17">
        <f t="shared" si="74"/>
        <v>292.06279833889272</v>
      </c>
      <c r="ET40" s="17">
        <f t="shared" si="74"/>
        <v>266.85294985268877</v>
      </c>
      <c r="EU40" s="17">
        <f t="shared" si="74"/>
        <v>243.81912811248594</v>
      </c>
      <c r="EV40" s="164">
        <f t="shared" si="74"/>
        <v>222.77350603150487</v>
      </c>
      <c r="EW40" s="164">
        <f t="shared" si="74"/>
        <v>203.54446910610329</v>
      </c>
      <c r="EX40" s="164">
        <f t="shared" si="74"/>
        <v>185.97521600179115</v>
      </c>
      <c r="EY40" s="164">
        <f t="shared" si="74"/>
        <v>169.92247993181059</v>
      </c>
      <c r="EZ40" s="164">
        <f t="shared" si="74"/>
        <v>155.25536040188538</v>
      </c>
      <c r="FA40" s="164">
        <f t="shared" si="74"/>
        <v>141.85425579471462</v>
      </c>
      <c r="FB40" s="164">
        <f t="shared" si="75"/>
        <v>6.4804944045036592</v>
      </c>
      <c r="FC40" s="164">
        <f t="shared" si="75"/>
        <v>5.9211205883846274</v>
      </c>
      <c r="FD40" s="164">
        <f t="shared" si="75"/>
        <v>5.4100299813278729</v>
      </c>
      <c r="FE40" s="164">
        <f t="shared" si="75"/>
        <v>4.943054944072899</v>
      </c>
      <c r="FF40" s="164">
        <f t="shared" si="75"/>
        <v>4.5163875735354688</v>
      </c>
      <c r="FG40" s="164">
        <f t="shared" si="75"/>
        <v>4.1265486516276884</v>
      </c>
    </row>
    <row r="41" spans="2:163" ht="12.75" customHeight="1" x14ac:dyDescent="0.3">
      <c r="B41" s="493" t="str">
        <f>'Colony Type'!B226</f>
        <v>S: Colony swarming in May--enter a 50-60% "treatment" reduction of mites on 15 May</v>
      </c>
      <c r="C41" s="493"/>
      <c r="D41" s="493"/>
      <c r="E41" s="493"/>
      <c r="F41" s="493"/>
      <c r="G41" s="493"/>
      <c r="H41" s="493"/>
      <c r="I41" s="493"/>
      <c r="J41" s="493"/>
      <c r="K41" s="493"/>
      <c r="L41" s="493"/>
      <c r="M41" s="493"/>
      <c r="AG41" s="110">
        <v>0.7</v>
      </c>
      <c r="AH41" s="250">
        <v>0.7</v>
      </c>
      <c r="AI41" s="234" t="s">
        <v>225</v>
      </c>
      <c r="AW41" s="538" t="s">
        <v>208</v>
      </c>
      <c r="AX41" s="538"/>
      <c r="AZ41" s="528"/>
      <c r="BA41" s="532"/>
      <c r="BB41" s="533"/>
      <c r="BC41" s="533"/>
      <c r="BD41" s="533"/>
      <c r="BE41" s="533"/>
      <c r="BF41" s="534"/>
      <c r="BG41" s="365"/>
      <c r="BH41" s="365"/>
      <c r="BI41" s="365"/>
      <c r="BJ41" s="365"/>
      <c r="BO41" s="87">
        <v>5</v>
      </c>
      <c r="BP41" s="61">
        <f>IF($AG$38="custom",AH48,IF($AG$38="",BO41,"error"))</f>
        <v>5</v>
      </c>
      <c r="BQ41" t="s">
        <v>6</v>
      </c>
      <c r="CD41" s="37"/>
      <c r="CE41" s="37"/>
      <c r="CH41"/>
      <c r="CI41"/>
      <c r="CJ41" s="55"/>
      <c r="CQ41" s="37"/>
      <c r="CR41" s="14"/>
      <c r="CS41" s="15"/>
      <c r="CT41" s="15"/>
      <c r="CU41" s="15"/>
      <c r="CV41" s="15"/>
      <c r="CW41" s="366"/>
      <c r="CX41" s="255"/>
      <c r="DL41" s="31"/>
      <c r="EI41" s="272">
        <f t="shared" si="73"/>
        <v>40664</v>
      </c>
      <c r="EK41" s="163" t="s">
        <v>185</v>
      </c>
      <c r="EL41" s="163"/>
      <c r="EM41" s="163"/>
      <c r="EN41" s="163"/>
      <c r="ER41" s="162">
        <f>EI12</f>
        <v>553.74624353002491</v>
      </c>
      <c r="ES41" s="17">
        <f t="shared" si="74"/>
        <v>505.94878702891208</v>
      </c>
      <c r="ET41" s="17">
        <f t="shared" si="74"/>
        <v>462.27704131079599</v>
      </c>
      <c r="EU41" s="17">
        <f t="shared" si="74"/>
        <v>422.37488932027355</v>
      </c>
      <c r="EV41" s="17">
        <f t="shared" si="74"/>
        <v>385.91695279189059</v>
      </c>
      <c r="EW41" s="164">
        <f t="shared" si="74"/>
        <v>352.60593898433189</v>
      </c>
      <c r="EX41" s="164">
        <f t="shared" si="74"/>
        <v>322.17021643531956</v>
      </c>
      <c r="EY41" s="164">
        <f t="shared" si="74"/>
        <v>294.36159996894645</v>
      </c>
      <c r="EZ41" s="164">
        <f t="shared" si="74"/>
        <v>268.95332689349971</v>
      </c>
      <c r="FA41" s="164">
        <f t="shared" si="74"/>
        <v>245.73820788687368</v>
      </c>
      <c r="FB41" s="164">
        <f t="shared" si="75"/>
        <v>11.226346874557269</v>
      </c>
      <c r="FC41" s="164">
        <f t="shared" si="75"/>
        <v>10.257327521970074</v>
      </c>
      <c r="FD41" s="164">
        <f t="shared" si="75"/>
        <v>9.3719505613542697</v>
      </c>
      <c r="FE41" s="164">
        <f t="shared" si="75"/>
        <v>8.5629962713327572</v>
      </c>
      <c r="FF41" s="164">
        <f t="shared" si="75"/>
        <v>7.8238681118547291</v>
      </c>
      <c r="FG41" s="164">
        <f t="shared" si="75"/>
        <v>7.1485389333434828</v>
      </c>
    </row>
    <row r="42" spans="2:163" ht="13" customHeight="1" x14ac:dyDescent="0.3">
      <c r="B42" s="492" t="str">
        <f>'Colony Type'!B254</f>
        <v xml:space="preserve">F: Feral hive restricted to a 40-liter cavity (1 Langstroth deep), swarming twice </v>
      </c>
      <c r="C42" s="492"/>
      <c r="D42" s="492"/>
      <c r="E42" s="492"/>
      <c r="F42" s="492"/>
      <c r="G42" s="492"/>
      <c r="H42" s="492"/>
      <c r="I42" s="492"/>
      <c r="J42" s="492"/>
      <c r="K42" s="492"/>
      <c r="L42" s="492"/>
      <c r="M42" s="492"/>
      <c r="AG42" s="120">
        <v>3.5</v>
      </c>
      <c r="AH42" s="318">
        <v>1.75</v>
      </c>
      <c r="AI42" s="366" t="s">
        <v>197</v>
      </c>
      <c r="AJ42" s="12"/>
      <c r="AK42" s="12"/>
      <c r="AL42" s="12"/>
      <c r="AM42" s="12"/>
      <c r="AN42" s="12"/>
      <c r="AO42" s="12"/>
      <c r="AP42" s="12"/>
      <c r="AT42" s="539" t="s">
        <v>195</v>
      </c>
      <c r="AU42" s="541" t="s">
        <v>196</v>
      </c>
      <c r="AV42" s="541"/>
      <c r="AW42" s="541"/>
      <c r="AX42" s="541"/>
      <c r="AY42" s="542"/>
      <c r="BA42" s="535"/>
      <c r="BB42" s="536"/>
      <c r="BC42" s="536"/>
      <c r="BD42" s="536"/>
      <c r="BE42" s="536"/>
      <c r="BF42" s="537"/>
      <c r="BO42" s="87">
        <v>5</v>
      </c>
      <c r="BP42" s="61">
        <f>IF($AG$38="custom",$AH$47,IF($AG$38="",BO42,"error"))</f>
        <v>5</v>
      </c>
      <c r="BQ42" t="s">
        <v>282</v>
      </c>
      <c r="CD42" s="37"/>
      <c r="CE42" s="37"/>
      <c r="CH42"/>
      <c r="CI42"/>
      <c r="CJ42" s="55"/>
      <c r="CQ42" s="37"/>
      <c r="CR42" s="14"/>
      <c r="CS42" s="15"/>
      <c r="CT42" s="15"/>
      <c r="CU42" s="15"/>
      <c r="CV42" s="15"/>
      <c r="CW42" s="366"/>
      <c r="CX42" s="255"/>
      <c r="DL42" s="31"/>
      <c r="EI42" s="272">
        <f t="shared" si="73"/>
        <v>40678</v>
      </c>
      <c r="ES42" s="162">
        <f>EI13</f>
        <v>801.00464968467384</v>
      </c>
      <c r="ET42" s="17">
        <f t="shared" si="74"/>
        <v>731.86470454224434</v>
      </c>
      <c r="EU42" s="17">
        <f t="shared" si="74"/>
        <v>668.69267983096336</v>
      </c>
      <c r="EV42" s="17">
        <f t="shared" si="74"/>
        <v>610.97344534355136</v>
      </c>
      <c r="EW42" s="17">
        <f t="shared" si="74"/>
        <v>558.23633512682079</v>
      </c>
      <c r="EX42" s="164">
        <f t="shared" si="74"/>
        <v>510.05130948137253</v>
      </c>
      <c r="EY42" s="164">
        <f t="shared" si="74"/>
        <v>466.02544824417629</v>
      </c>
      <c r="EZ42" s="164">
        <f t="shared" si="74"/>
        <v>425.79974675884449</v>
      </c>
      <c r="FA42" s="164">
        <f t="shared" si="74"/>
        <v>389.04618840664733</v>
      </c>
      <c r="FB42" s="164">
        <f t="shared" si="75"/>
        <v>17.773253491325235</v>
      </c>
      <c r="FC42" s="164">
        <f t="shared" si="75"/>
        <v>16.239127850635796</v>
      </c>
      <c r="FD42" s="164">
        <f t="shared" si="75"/>
        <v>14.837422618093322</v>
      </c>
      <c r="FE42" s="164">
        <f t="shared" si="75"/>
        <v>13.556707723025163</v>
      </c>
      <c r="FF42" s="164">
        <f t="shared" si="75"/>
        <v>12.386539698843412</v>
      </c>
      <c r="FG42" s="164">
        <f t="shared" si="75"/>
        <v>11.31737652279981</v>
      </c>
    </row>
    <row r="43" spans="2:163" ht="13" customHeight="1" x14ac:dyDescent="0.3">
      <c r="B43" s="493" t="s">
        <v>353</v>
      </c>
      <c r="C43" s="493"/>
      <c r="D43" s="493"/>
      <c r="E43" s="493"/>
      <c r="F43" s="493"/>
      <c r="G43" s="493"/>
      <c r="H43" s="493"/>
      <c r="I43" s="493"/>
      <c r="J43" s="493"/>
      <c r="K43" s="493"/>
      <c r="L43" s="493"/>
      <c r="M43" s="493"/>
      <c r="AG43" s="110">
        <v>0.7</v>
      </c>
      <c r="AH43" s="250">
        <v>0.7</v>
      </c>
      <c r="AI43" s="366" t="s">
        <v>226</v>
      </c>
      <c r="AT43" s="540"/>
      <c r="AU43" s="543"/>
      <c r="AV43" s="543"/>
      <c r="AW43" s="543"/>
      <c r="AX43" s="543"/>
      <c r="AY43" s="544"/>
      <c r="BO43" s="87">
        <v>4500</v>
      </c>
      <c r="BP43" s="61">
        <v>4500</v>
      </c>
      <c r="BQ43" s="23" t="s">
        <v>13</v>
      </c>
      <c r="CD43" s="37"/>
      <c r="CE43" s="37"/>
      <c r="CH43"/>
      <c r="CI43"/>
      <c r="CJ43" s="55"/>
      <c r="CQ43" s="37"/>
      <c r="CR43" s="14"/>
      <c r="CS43" s="15"/>
      <c r="CT43" s="15"/>
      <c r="CU43" s="15"/>
      <c r="CV43" s="15"/>
      <c r="CW43" s="366"/>
      <c r="CX43" s="255"/>
      <c r="DL43" s="31"/>
      <c r="EI43" s="272">
        <f t="shared" si="73"/>
        <v>40695</v>
      </c>
      <c r="ET43" s="162">
        <f>EI14</f>
        <v>1125.6852256167831</v>
      </c>
      <c r="EU43" s="17">
        <f t="shared" si="74"/>
        <v>1028.5199784769238</v>
      </c>
      <c r="EV43" s="17">
        <f t="shared" si="74"/>
        <v>939.74169870316541</v>
      </c>
      <c r="EW43" s="17">
        <f t="shared" si="74"/>
        <v>858.6264523410274</v>
      </c>
      <c r="EX43" s="17">
        <f t="shared" si="74"/>
        <v>784.51279290588241</v>
      </c>
      <c r="EY43" s="164">
        <f t="shared" si="74"/>
        <v>716.79636768113539</v>
      </c>
      <c r="EZ43" s="164">
        <f t="shared" si="74"/>
        <v>654.92498958204931</v>
      </c>
      <c r="FA43" s="164">
        <f t="shared" si="74"/>
        <v>598.3941343992052</v>
      </c>
      <c r="FB43" s="164">
        <f t="shared" si="75"/>
        <v>27.337141335215033</v>
      </c>
      <c r="FC43" s="164">
        <f t="shared" si="75"/>
        <v>24.977494043514955</v>
      </c>
      <c r="FD43" s="164">
        <f t="shared" si="75"/>
        <v>22.821523327684755</v>
      </c>
      <c r="FE43" s="164">
        <f t="shared" si="75"/>
        <v>20.851648531622146</v>
      </c>
      <c r="FF43" s="164">
        <f t="shared" si="75"/>
        <v>19.051806500526428</v>
      </c>
      <c r="FG43" s="164">
        <f t="shared" si="75"/>
        <v>17.407320595445693</v>
      </c>
    </row>
    <row r="44" spans="2:163" ht="26" customHeight="1" x14ac:dyDescent="0.3">
      <c r="AG44" s="121">
        <v>5.0000000000000001E-3</v>
      </c>
      <c r="AH44" s="252">
        <v>5.0000000000000001E-3</v>
      </c>
      <c r="AI44" s="366" t="s">
        <v>327</v>
      </c>
      <c r="BD44" s="349" t="s">
        <v>208</v>
      </c>
      <c r="BK44" s="366"/>
      <c r="BL44" s="366"/>
      <c r="BM44" s="255"/>
      <c r="BO44" s="87">
        <v>2000</v>
      </c>
      <c r="BP44" s="61">
        <v>2000</v>
      </c>
      <c r="BQ44" s="374" t="s">
        <v>14</v>
      </c>
      <c r="CD44" s="37"/>
      <c r="CE44" s="37"/>
      <c r="CH44"/>
      <c r="CI44"/>
      <c r="CJ44" s="55"/>
      <c r="CQ44" s="37"/>
      <c r="CR44" s="19"/>
      <c r="CS44" s="366"/>
      <c r="CT44" s="366"/>
      <c r="CU44" s="366"/>
      <c r="CV44" s="366"/>
      <c r="CW44" s="366"/>
      <c r="DL44" s="31"/>
      <c r="EI44" s="272">
        <f t="shared" si="73"/>
        <v>40709</v>
      </c>
      <c r="EU44" s="162">
        <f>EI15</f>
        <v>1532.8280437290973</v>
      </c>
      <c r="EV44" s="17">
        <f t="shared" si="74"/>
        <v>1400.5196396543799</v>
      </c>
      <c r="EW44" s="17">
        <f t="shared" si="74"/>
        <v>1279.631638448996</v>
      </c>
      <c r="EX44" s="17">
        <f t="shared" si="74"/>
        <v>1169.1782705194719</v>
      </c>
      <c r="EY44" s="17">
        <f t="shared" si="74"/>
        <v>1068.2588544870439</v>
      </c>
      <c r="EZ44" s="164">
        <f t="shared" si="74"/>
        <v>976.05045266787272</v>
      </c>
      <c r="FA44" s="164">
        <f t="shared" si="74"/>
        <v>891.80116050675201</v>
      </c>
      <c r="FB44" s="164">
        <f t="shared" si="75"/>
        <v>40.741198762182002</v>
      </c>
      <c r="FC44" s="164">
        <f>FB44*(1-FB$32)*EXP($BV$38*15)</f>
        <v>37.224559690782144</v>
      </c>
      <c r="FD44" s="164">
        <f t="shared" si="75"/>
        <v>34.011464715634439</v>
      </c>
      <c r="FE44" s="164">
        <f t="shared" si="75"/>
        <v>31.075712962410083</v>
      </c>
      <c r="FF44" s="164">
        <f t="shared" si="75"/>
        <v>28.39336512544218</v>
      </c>
      <c r="FG44" s="164">
        <f t="shared" si="75"/>
        <v>25.94254825695727</v>
      </c>
    </row>
    <row r="45" spans="2:163" ht="13" x14ac:dyDescent="0.3">
      <c r="B45" s="495" t="s">
        <v>349</v>
      </c>
      <c r="C45" s="495"/>
      <c r="D45" s="495"/>
      <c r="E45" s="495"/>
      <c r="F45" s="495"/>
      <c r="G45" s="495"/>
      <c r="H45" s="495"/>
      <c r="AG45" s="121">
        <v>6.0000000000000001E-3</v>
      </c>
      <c r="AH45" s="252">
        <v>6.0000000000000001E-3</v>
      </c>
      <c r="AI45" s="366" t="s">
        <v>328</v>
      </c>
      <c r="AO45" s="12"/>
      <c r="AP45" s="12"/>
      <c r="AQ45" s="12"/>
      <c r="AR45" s="12"/>
      <c r="AZ45" s="12"/>
      <c r="BA45" s="340" t="s">
        <v>208</v>
      </c>
      <c r="BB45" s="44"/>
      <c r="BC45" s="12"/>
      <c r="BK45" s="366"/>
      <c r="BL45" s="366"/>
      <c r="BO45" s="87"/>
      <c r="BP45" s="61"/>
      <c r="BY45" s="363"/>
      <c r="CD45" s="37"/>
      <c r="CE45" s="37"/>
      <c r="CH45"/>
      <c r="CI45"/>
      <c r="CJ45" s="55"/>
      <c r="CL45" s="14"/>
      <c r="CQ45" s="37"/>
      <c r="CR45" s="19"/>
      <c r="CS45" s="366"/>
      <c r="CT45" s="366"/>
      <c r="CU45" s="366"/>
      <c r="CV45" s="366"/>
      <c r="CW45" s="366"/>
      <c r="DL45" s="31"/>
      <c r="EI45" s="272">
        <f t="shared" si="73"/>
        <v>40725</v>
      </c>
      <c r="EV45" s="162">
        <f>EI16</f>
        <v>2032.5872700099949</v>
      </c>
      <c r="EW45" s="17">
        <f t="shared" si="74"/>
        <v>1857.1413816484051</v>
      </c>
      <c r="EX45" s="17">
        <f t="shared" si="74"/>
        <v>1696.8393742887051</v>
      </c>
      <c r="EY45" s="17">
        <f t="shared" si="74"/>
        <v>1550.3740806102978</v>
      </c>
      <c r="EZ45" s="17">
        <f t="shared" si="74"/>
        <v>1416.5511634451623</v>
      </c>
      <c r="FA45" s="164">
        <f t="shared" si="74"/>
        <v>1294.2793766701432</v>
      </c>
      <c r="FB45" s="164">
        <f t="shared" si="75"/>
        <v>59.128083337263263</v>
      </c>
      <c r="FC45" s="164">
        <f t="shared" si="75"/>
        <v>54.02435211682063</v>
      </c>
      <c r="FD45" s="164">
        <f t="shared" si="75"/>
        <v>49.361157286200481</v>
      </c>
      <c r="FE45" s="164">
        <f t="shared" si="75"/>
        <v>45.100473271097393</v>
      </c>
      <c r="FF45" s="164">
        <f t="shared" si="75"/>
        <v>41.207556732986383</v>
      </c>
      <c r="FG45" s="164">
        <f t="shared" si="75"/>
        <v>37.650663257906295</v>
      </c>
    </row>
    <row r="46" spans="2:163" ht="13" x14ac:dyDescent="0.3">
      <c r="B46" s="412">
        <v>0</v>
      </c>
      <c r="C46" s="494" t="s">
        <v>288</v>
      </c>
      <c r="D46" s="494"/>
      <c r="E46" s="494"/>
      <c r="F46" s="494"/>
      <c r="G46" s="494"/>
      <c r="H46" s="494"/>
      <c r="AG46" s="110">
        <v>0.6</v>
      </c>
      <c r="AH46" s="250">
        <v>0.6</v>
      </c>
      <c r="AI46" s="366" t="s">
        <v>332</v>
      </c>
      <c r="BF46" s="363" t="s">
        <v>208</v>
      </c>
      <c r="BK46" s="366"/>
      <c r="BL46" s="366"/>
      <c r="BO46" s="169">
        <v>0.95</v>
      </c>
      <c r="BP46" s="170">
        <v>0.95</v>
      </c>
      <c r="BQ46" t="s">
        <v>187</v>
      </c>
      <c r="CD46" s="37"/>
      <c r="CE46" s="37"/>
      <c r="CH46"/>
      <c r="CI46"/>
      <c r="CJ46" s="55"/>
      <c r="CL46" s="14"/>
      <c r="CO46" s="44"/>
      <c r="CP46" s="54"/>
      <c r="CQ46" s="54"/>
      <c r="CR46" s="54"/>
      <c r="CS46" s="54"/>
      <c r="CT46" s="54"/>
      <c r="CU46" s="54"/>
      <c r="CV46" s="54"/>
      <c r="CX46" s="20"/>
      <c r="DL46" s="31"/>
      <c r="EI46" s="272">
        <f t="shared" si="73"/>
        <v>40739</v>
      </c>
      <c r="EW46" s="162">
        <f>EI17</f>
        <v>2570.4868024012308</v>
      </c>
      <c r="EX46" s="17">
        <f t="shared" si="74"/>
        <v>2348.6112907205893</v>
      </c>
      <c r="EY46" s="17">
        <f t="shared" si="74"/>
        <v>2145.8873042053597</v>
      </c>
      <c r="EZ46" s="17">
        <f t="shared" si="74"/>
        <v>1960.6617495809253</v>
      </c>
      <c r="FA46" s="17">
        <f t="shared" si="74"/>
        <v>1791.4242228546445</v>
      </c>
      <c r="FB46" s="164">
        <f t="shared" si="75"/>
        <v>81.839734643579121</v>
      </c>
      <c r="FC46" s="164">
        <f t="shared" si="75"/>
        <v>74.775612399150759</v>
      </c>
      <c r="FD46" s="164">
        <f t="shared" si="75"/>
        <v>68.321240703176102</v>
      </c>
      <c r="FE46" s="164">
        <f t="shared" si="75"/>
        <v>62.423988001659481</v>
      </c>
      <c r="FF46" s="164">
        <f t="shared" si="75"/>
        <v>57.035765713929365</v>
      </c>
      <c r="FG46" s="164">
        <f t="shared" si="75"/>
        <v>52.112636098926593</v>
      </c>
    </row>
    <row r="47" spans="2:163" ht="13" x14ac:dyDescent="0.3">
      <c r="B47" s="413">
        <v>1</v>
      </c>
      <c r="C47" s="494" t="s">
        <v>289</v>
      </c>
      <c r="D47" s="494"/>
      <c r="E47" s="494"/>
      <c r="F47" s="494"/>
      <c r="G47" s="494"/>
      <c r="H47" s="494"/>
      <c r="AG47" s="9">
        <v>4.5</v>
      </c>
      <c r="AH47" s="251">
        <v>5</v>
      </c>
      <c r="AI47" t="s">
        <v>198</v>
      </c>
      <c r="AO47" s="7"/>
      <c r="AY47" s="12"/>
      <c r="BE47" s="363" t="s">
        <v>208</v>
      </c>
      <c r="CD47" s="37"/>
      <c r="CE47" s="37"/>
      <c r="CH47"/>
      <c r="CI47"/>
      <c r="CJ47" s="55"/>
      <c r="CL47" s="14"/>
      <c r="DL47" s="31"/>
      <c r="EI47" s="272">
        <f t="shared" si="73"/>
        <v>40756</v>
      </c>
      <c r="EX47" s="162">
        <f>EI18</f>
        <v>3263.5292247822917</v>
      </c>
      <c r="EY47" s="17">
        <f t="shared" si="74"/>
        <v>2981.8326932315831</v>
      </c>
      <c r="EZ47" s="17">
        <f t="shared" si="74"/>
        <v>2724.4512299465778</v>
      </c>
      <c r="FA47" s="17">
        <f t="shared" si="74"/>
        <v>2489.286042508671</v>
      </c>
      <c r="FB47" s="17">
        <f t="shared" si="75"/>
        <v>113.72097494932936</v>
      </c>
      <c r="FC47" s="164">
        <f t="shared" si="75"/>
        <v>103.90497453954963</v>
      </c>
      <c r="FD47" s="164">
        <f t="shared" si="75"/>
        <v>94.936257263666064</v>
      </c>
      <c r="FE47" s="164">
        <f t="shared" si="75"/>
        <v>86.74168857817665</v>
      </c>
      <c r="FF47" s="164">
        <f t="shared" si="75"/>
        <v>79.254446659895947</v>
      </c>
      <c r="FG47" s="164">
        <f t="shared" si="75"/>
        <v>72.413477513816773</v>
      </c>
    </row>
    <row r="48" spans="2:163" ht="13" customHeight="1" x14ac:dyDescent="0.35">
      <c r="B48" s="413">
        <v>2</v>
      </c>
      <c r="C48" s="494" t="s">
        <v>291</v>
      </c>
      <c r="D48" s="494"/>
      <c r="E48" s="494"/>
      <c r="F48" s="494"/>
      <c r="G48" s="494"/>
      <c r="H48" s="494"/>
      <c r="AG48" s="9">
        <v>5</v>
      </c>
      <c r="AH48" s="319">
        <v>5</v>
      </c>
      <c r="AI48" s="374" t="s">
        <v>252</v>
      </c>
      <c r="AJ48" s="234"/>
      <c r="AK48" s="12"/>
      <c r="AL48" s="12"/>
      <c r="AM48" s="12"/>
      <c r="AN48" s="12"/>
      <c r="AO48" s="12"/>
      <c r="AP48" s="12"/>
      <c r="AQ48" s="12"/>
      <c r="AR48" s="12"/>
      <c r="AS48" s="12"/>
      <c r="AT48" s="12"/>
      <c r="AU48" s="12"/>
      <c r="AV48" s="12"/>
      <c r="AW48" s="12"/>
      <c r="AX48" s="12"/>
      <c r="AY48" s="12"/>
      <c r="BC48" s="275" t="s">
        <v>208</v>
      </c>
      <c r="BO48" s="6" t="s">
        <v>15</v>
      </c>
      <c r="BW48"/>
      <c r="BX48"/>
      <c r="BY48"/>
      <c r="BZ48"/>
      <c r="CA48"/>
      <c r="CD48" s="37"/>
      <c r="CE48" s="37"/>
      <c r="CH48"/>
      <c r="CI48"/>
      <c r="CJ48" s="55"/>
      <c r="CL48" s="143"/>
      <c r="DL48" s="31"/>
      <c r="EI48" s="272">
        <f t="shared" si="73"/>
        <v>40770</v>
      </c>
      <c r="EY48" s="162">
        <f>EI19</f>
        <v>4212.9843175852857</v>
      </c>
      <c r="EZ48" s="17">
        <f t="shared" si="74"/>
        <v>3849.3341131595926</v>
      </c>
      <c r="FA48" s="17">
        <f t="shared" si="74"/>
        <v>3517.072933997265</v>
      </c>
      <c r="FB48" s="17">
        <f t="shared" si="75"/>
        <v>160.67456941147174</v>
      </c>
      <c r="FC48" s="17">
        <f t="shared" si="75"/>
        <v>146.80569746514053</v>
      </c>
      <c r="FD48" s="164">
        <f t="shared" si="75"/>
        <v>134.1339384768105</v>
      </c>
      <c r="FE48" s="164">
        <f t="shared" si="75"/>
        <v>122.5559618050452</v>
      </c>
      <c r="FF48" s="164">
        <f t="shared" si="75"/>
        <v>111.97735595124121</v>
      </c>
      <c r="FG48" s="164">
        <f t="shared" si="75"/>
        <v>102.3118586901318</v>
      </c>
    </row>
    <row r="49" spans="2:163" ht="13" x14ac:dyDescent="0.3">
      <c r="B49" s="413">
        <v>3</v>
      </c>
      <c r="C49" s="494" t="s">
        <v>290</v>
      </c>
      <c r="D49" s="494"/>
      <c r="E49" s="494"/>
      <c r="F49" s="494"/>
      <c r="G49" s="494"/>
      <c r="H49" s="494"/>
      <c r="AG49" s="322">
        <v>0.05</v>
      </c>
      <c r="AH49" s="338">
        <v>0.05</v>
      </c>
      <c r="AI49" s="366" t="s">
        <v>335</v>
      </c>
      <c r="BO49" s="255" t="s">
        <v>16</v>
      </c>
      <c r="BP49" t="s">
        <v>117</v>
      </c>
      <c r="BW49"/>
      <c r="BX49"/>
      <c r="BY49"/>
      <c r="BZ49"/>
      <c r="CA49" s="42"/>
      <c r="CH49"/>
      <c r="CI49"/>
      <c r="CJ49" s="55"/>
      <c r="CL49" s="14"/>
      <c r="DL49" s="31"/>
      <c r="DO49" s="95"/>
      <c r="DP49" s="390"/>
      <c r="DQ49" s="95"/>
      <c r="EI49" s="272">
        <f t="shared" si="73"/>
        <v>40787</v>
      </c>
      <c r="EZ49" s="162">
        <f>EI20</f>
        <v>4947.0698515346385</v>
      </c>
      <c r="FA49" s="17">
        <f t="shared" ref="FA49:FG50" si="76">EZ49*(1-EZ$32)*EXP($BV$38*15)</f>
        <v>4520.0559281004607</v>
      </c>
      <c r="FB49" s="17">
        <f t="shared" si="76"/>
        <v>206.49501832704294</v>
      </c>
      <c r="FC49" s="17">
        <f t="shared" si="76"/>
        <v>188.67108404034801</v>
      </c>
      <c r="FD49" s="164">
        <f t="shared" si="76"/>
        <v>172.38564998494323</v>
      </c>
      <c r="FE49" s="164">
        <f t="shared" si="76"/>
        <v>157.50591815318296</v>
      </c>
      <c r="FF49" s="164">
        <f t="shared" si="76"/>
        <v>143.9105532011742</v>
      </c>
      <c r="FG49" s="164">
        <f t="shared" si="76"/>
        <v>131.48869303137019</v>
      </c>
    </row>
    <row r="50" spans="2:163" ht="13" x14ac:dyDescent="0.3">
      <c r="B50" s="413">
        <v>4</v>
      </c>
      <c r="C50" s="578" t="s">
        <v>292</v>
      </c>
      <c r="D50" s="578"/>
      <c r="E50" s="578"/>
      <c r="F50" s="578"/>
      <c r="G50" s="578"/>
      <c r="H50" s="578"/>
      <c r="AI50" s="381"/>
      <c r="AR50" s="255"/>
      <c r="AS50" s="255"/>
      <c r="BW50"/>
      <c r="BX50"/>
      <c r="BY50"/>
      <c r="BZ50" s="18"/>
      <c r="CA50" s="18"/>
      <c r="CH50"/>
      <c r="CI50"/>
      <c r="CJ50" s="55"/>
      <c r="CL50" s="14"/>
      <c r="DL50" s="31"/>
      <c r="DO50" s="95"/>
      <c r="DP50" s="390"/>
      <c r="DQ50" s="95"/>
      <c r="EI50" s="272">
        <f t="shared" si="73"/>
        <v>40801</v>
      </c>
      <c r="FA50" s="162">
        <f>EI21</f>
        <v>6569.4604596031913</v>
      </c>
      <c r="FB50" s="17">
        <f t="shared" si="76"/>
        <v>300.12037009786189</v>
      </c>
      <c r="FC50" s="17">
        <f t="shared" si="76"/>
        <v>274.215019944326</v>
      </c>
      <c r="FD50" s="17">
        <f t="shared" si="76"/>
        <v>250.54572983016192</v>
      </c>
      <c r="FE50" s="164">
        <f t="shared" si="76"/>
        <v>228.91949080277715</v>
      </c>
      <c r="FF50" s="164">
        <f t="shared" si="76"/>
        <v>209.15995377341332</v>
      </c>
      <c r="FG50" s="164">
        <f t="shared" si="76"/>
        <v>191.1059914954418</v>
      </c>
    </row>
    <row r="51" spans="2:163" ht="13" x14ac:dyDescent="0.3">
      <c r="B51" s="413" t="s">
        <v>320</v>
      </c>
      <c r="C51" s="561" t="s">
        <v>370</v>
      </c>
      <c r="D51" s="561"/>
      <c r="E51" s="561"/>
      <c r="F51" s="561"/>
      <c r="G51" s="561"/>
      <c r="H51" s="561"/>
      <c r="I51" s="561"/>
      <c r="J51" s="561"/>
      <c r="AI51" s="381"/>
      <c r="BB51" s="299"/>
      <c r="BC51" s="131"/>
      <c r="BD51" t="s">
        <v>337</v>
      </c>
      <c r="BO51" s="6" t="s">
        <v>18</v>
      </c>
      <c r="CH51"/>
      <c r="CI51"/>
      <c r="CJ51" s="55"/>
      <c r="CL51" s="14"/>
      <c r="DL51" s="31"/>
      <c r="DM51" s="364"/>
      <c r="DO51" s="95"/>
      <c r="DP51" s="390"/>
      <c r="DQ51" s="95"/>
      <c r="EH51" s="364"/>
      <c r="EI51" s="272">
        <f t="shared" si="73"/>
        <v>40817</v>
      </c>
      <c r="FB51" s="162">
        <f>EI22</f>
        <v>300.6506135743652</v>
      </c>
      <c r="FC51" s="17">
        <f>FB51*(1-FB$32)*EXP($BV$38*15)</f>
        <v>274.69949464171924</v>
      </c>
      <c r="FD51" s="17">
        <f>FC51*(1-FC$32)*EXP($BV$38*15)</f>
        <v>250.98838635082691</v>
      </c>
      <c r="FE51" s="17">
        <f>FD51*(1-FD$32)*EXP($BV$38*15)</f>
        <v>229.32393874679059</v>
      </c>
      <c r="FF51" s="164">
        <f>FE51*(1-FE$32)*EXP($BV$38*15)</f>
        <v>209.52949117268389</v>
      </c>
      <c r="FG51" s="164">
        <f>FF51*(1-FF$32)*EXP($BV$38*15)</f>
        <v>191.44363170719456</v>
      </c>
    </row>
    <row r="52" spans="2:163" ht="13" x14ac:dyDescent="0.3">
      <c r="BP52" s="8"/>
      <c r="BQ52" s="8"/>
      <c r="BU52" t="s">
        <v>34</v>
      </c>
      <c r="BV52" t="s">
        <v>258</v>
      </c>
      <c r="BW52" t="s">
        <v>257</v>
      </c>
      <c r="CH52"/>
      <c r="CI52"/>
      <c r="CJ52" s="55"/>
      <c r="CL52" s="14"/>
      <c r="DL52" s="31"/>
      <c r="DO52" s="95"/>
      <c r="DP52" s="390"/>
      <c r="DQ52" s="95"/>
      <c r="EH52" s="364"/>
      <c r="EI52" s="272">
        <f t="shared" si="73"/>
        <v>40831</v>
      </c>
      <c r="FC52" s="162">
        <f>EI23</f>
        <v>264.04940571632642</v>
      </c>
      <c r="FD52" s="17">
        <f>FC52*(1-FC$32)*EXP($BV$38*15)</f>
        <v>241.25757618911359</v>
      </c>
      <c r="FE52" s="17">
        <f>FD52*(1-FD$32)*EXP($BV$38*15)</f>
        <v>220.43305839202299</v>
      </c>
      <c r="FF52" s="17">
        <f>FE52*(1-FE$32)*EXP($BV$38*15)</f>
        <v>201.4060407950563</v>
      </c>
      <c r="FG52" s="164">
        <f>FF52*(1-FF$32)*EXP($BV$38*15)</f>
        <v>184.02136941093144</v>
      </c>
    </row>
    <row r="53" spans="2:163" ht="13" x14ac:dyDescent="0.3">
      <c r="AK53" s="254"/>
      <c r="AL53" s="254"/>
      <c r="AM53" s="254"/>
      <c r="BD53" s="236"/>
      <c r="BE53" s="236"/>
      <c r="BF53" s="236"/>
      <c r="BG53" s="236"/>
      <c r="BK53" s="7"/>
      <c r="BL53" s="60"/>
      <c r="BM53" s="5"/>
      <c r="BO53" t="s">
        <v>20</v>
      </c>
      <c r="BP53" s="44">
        <f>BP29</f>
        <v>1.3774999999999999</v>
      </c>
      <c r="BQ53" t="s">
        <v>21</v>
      </c>
      <c r="BU53">
        <v>0</v>
      </c>
      <c r="BV53" s="366">
        <f>BU53+12</f>
        <v>12</v>
      </c>
      <c r="BW53" s="29">
        <f>$BP$57/BV53</f>
        <v>2.6536295761255119E-2</v>
      </c>
      <c r="CH53"/>
      <c r="CI53"/>
      <c r="CJ53" s="55"/>
      <c r="CL53" s="14"/>
      <c r="DL53" s="31"/>
      <c r="DM53" s="364"/>
      <c r="DO53" s="95"/>
      <c r="DP53" s="390"/>
      <c r="DQ53" s="95"/>
      <c r="EH53" s="364"/>
      <c r="EI53" s="272">
        <f t="shared" si="73"/>
        <v>40848</v>
      </c>
      <c r="FD53" s="162">
        <f>EI24</f>
        <v>0</v>
      </c>
      <c r="FE53" s="17">
        <f>FD53*(1-FD$32)*EXP($BV$38*15)</f>
        <v>0</v>
      </c>
      <c r="FF53" s="17">
        <f>FE53*(1-FE$32)*EXP($BV$38*15)</f>
        <v>0</v>
      </c>
      <c r="FG53" s="17">
        <f>FF53*(1-FF$32)*EXP($BV$38*15)</f>
        <v>0</v>
      </c>
    </row>
    <row r="54" spans="2:163" ht="13" customHeight="1" x14ac:dyDescent="0.3">
      <c r="BO54" t="s">
        <v>23</v>
      </c>
      <c r="BP54" s="45">
        <f>BP30</f>
        <v>0.7</v>
      </c>
      <c r="BQ54" t="s">
        <v>24</v>
      </c>
      <c r="BU54">
        <v>1</v>
      </c>
      <c r="BV54" s="366">
        <f t="shared" ref="BV54:BV68" si="77">BU54+12</f>
        <v>13</v>
      </c>
      <c r="BW54" s="29">
        <f t="shared" ref="BW54:BW68" si="78">$BP$57/BV54</f>
        <v>2.4495042241158574E-2</v>
      </c>
      <c r="CH54"/>
      <c r="CI54"/>
      <c r="CJ54" s="55"/>
      <c r="CL54" s="14"/>
      <c r="DL54" s="31"/>
      <c r="DO54"/>
      <c r="DP54" s="389"/>
      <c r="DQ54"/>
      <c r="EI54" s="272">
        <f t="shared" si="73"/>
        <v>40862</v>
      </c>
      <c r="FE54" s="162">
        <f>EI25</f>
        <v>0</v>
      </c>
      <c r="FF54" s="17">
        <f>FE54*(1-FE$32)*EXP($BV$38*15)</f>
        <v>0</v>
      </c>
      <c r="FG54" s="17">
        <f>FF54*(1-FF$32)*EXP($BV$38*15)</f>
        <v>0</v>
      </c>
    </row>
    <row r="55" spans="2:163" ht="13" customHeight="1" x14ac:dyDescent="0.3">
      <c r="AG55" s="522" t="s">
        <v>146</v>
      </c>
      <c r="AH55" s="522"/>
      <c r="AI55" s="12" t="s">
        <v>157</v>
      </c>
      <c r="AN55" s="6"/>
      <c r="AP55" s="6"/>
      <c r="AY55" s="367">
        <f>(LN(BA21/BA11))/(AZ21-AZ11)</f>
        <v>2.1792982143589483E-2</v>
      </c>
      <c r="BN55" s="77"/>
      <c r="BO55" t="s">
        <v>23</v>
      </c>
      <c r="BP55" s="106">
        <v>0.7</v>
      </c>
      <c r="BQ55" t="s">
        <v>22</v>
      </c>
      <c r="BU55">
        <v>2</v>
      </c>
      <c r="BV55" s="366">
        <f t="shared" si="77"/>
        <v>14</v>
      </c>
      <c r="BW55" s="29">
        <f t="shared" si="78"/>
        <v>2.2745396366790103E-2</v>
      </c>
      <c r="CH55"/>
      <c r="CI55"/>
      <c r="CJ55" s="55"/>
      <c r="CL55" s="14"/>
      <c r="DL55" s="31"/>
      <c r="EI55" s="272">
        <f t="shared" si="73"/>
        <v>40878</v>
      </c>
      <c r="FF55" s="162">
        <f>EI26</f>
        <v>0</v>
      </c>
      <c r="FG55" s="17">
        <f>FF55*(1-FF$32)*EXP($BV$38*15)</f>
        <v>0</v>
      </c>
    </row>
    <row r="56" spans="2:163" ht="13" x14ac:dyDescent="0.3">
      <c r="AG56" s="6" t="s">
        <v>158</v>
      </c>
      <c r="AK56" s="254"/>
      <c r="BJ56" s="254"/>
      <c r="BK56" s="254"/>
      <c r="BL56" s="254"/>
      <c r="BM56" s="254"/>
      <c r="BN56" s="77"/>
      <c r="BO56" t="s">
        <v>105</v>
      </c>
      <c r="BP56" s="82">
        <f>(1+($BP$53*$BP$54))*$BP$55</f>
        <v>1.3749749999999998</v>
      </c>
      <c r="BQ56" s="82"/>
      <c r="BU56">
        <v>3</v>
      </c>
      <c r="BV56" s="366">
        <f t="shared" si="77"/>
        <v>15</v>
      </c>
      <c r="BW56" s="29">
        <f t="shared" si="78"/>
        <v>2.1229036609004097E-2</v>
      </c>
      <c r="CH56"/>
      <c r="CI56"/>
      <c r="CJ56" s="55"/>
      <c r="DL56" s="31"/>
      <c r="EI56" s="272">
        <f t="shared" si="73"/>
        <v>40892</v>
      </c>
      <c r="EO56" s="26"/>
      <c r="FG56" s="162">
        <f>EI27</f>
        <v>0</v>
      </c>
    </row>
    <row r="57" spans="2:163" ht="13" customHeight="1" x14ac:dyDescent="0.3">
      <c r="AG57" t="s">
        <v>153</v>
      </c>
      <c r="AN57" s="16"/>
      <c r="BJ57" s="254"/>
      <c r="BK57" s="254"/>
      <c r="BL57" s="254"/>
      <c r="BM57" s="254"/>
      <c r="BO57" s="255" t="s">
        <v>26</v>
      </c>
      <c r="BP57" s="7">
        <f>LN(BP56)</f>
        <v>0.31843554913506145</v>
      </c>
      <c r="BU57">
        <v>4</v>
      </c>
      <c r="BV57" s="366">
        <f t="shared" si="77"/>
        <v>16</v>
      </c>
      <c r="BW57" s="29">
        <f t="shared" si="78"/>
        <v>1.990222182094134E-2</v>
      </c>
      <c r="CH57"/>
      <c r="CI57"/>
      <c r="CJ57" s="55"/>
      <c r="DL57" s="31"/>
      <c r="EI57" s="165" t="s">
        <v>181</v>
      </c>
      <c r="EJ57" s="165"/>
      <c r="EK57" s="165"/>
      <c r="EL57" s="165"/>
      <c r="EM57" s="165"/>
      <c r="EN57" s="165"/>
      <c r="EO57" s="166">
        <f>SUM(EO33)</f>
        <v>63.67644803087736</v>
      </c>
      <c r="EP57" s="166">
        <f>SUM(EP33:EP34)</f>
        <v>68.11957798678597</v>
      </c>
      <c r="EQ57" s="166">
        <f>SUM(EQ33:EQ35)</f>
        <v>85.024869345248149</v>
      </c>
      <c r="ER57" s="166">
        <f>SUM(ER33:ER36)</f>
        <v>113.0537557335532</v>
      </c>
      <c r="ES57" s="166">
        <f>SUM(ES33:ES37)</f>
        <v>152.08260982631234</v>
      </c>
      <c r="ET57" s="166">
        <f>SUM(ET33:ET38)</f>
        <v>222.70241552270909</v>
      </c>
      <c r="EU57" s="166">
        <f>SUM(EU33:EU39)</f>
        <v>351.14364111458519</v>
      </c>
      <c r="EV57" s="166">
        <f>SUM(EV33:EV40)</f>
        <v>543.60764508098634</v>
      </c>
      <c r="EW57" s="166">
        <f>SUM(EW33:EW41)</f>
        <v>849.29125624275116</v>
      </c>
      <c r="EX57" s="166">
        <f>SUM(EX33:EX42)</f>
        <v>1286.0346880611355</v>
      </c>
      <c r="EY57" s="166">
        <f>SUM(EY33:EY43)</f>
        <v>1891.8249987626873</v>
      </c>
      <c r="EZ57" s="166">
        <f>SUM(EZ33:EZ44)</f>
        <v>2704.5796744522113</v>
      </c>
      <c r="FA57" s="166">
        <f>SUM(FA33:FA45)</f>
        <v>3765.4091074814924</v>
      </c>
      <c r="FB57" s="166">
        <f>SUM(FB33:FB46)</f>
        <v>253.85933684017471</v>
      </c>
      <c r="FC57" s="166">
        <f>SUM(FC33:FC47)</f>
        <v>335.85205327993339</v>
      </c>
      <c r="FD57" s="166">
        <f>SUM(FD33:FD48)</f>
        <v>440.99640655410104</v>
      </c>
      <c r="FE57" s="166">
        <f>SUM(FE33:FE49)</f>
        <v>560.43704335197344</v>
      </c>
      <c r="FF57" s="166">
        <f>SUM(FF33:FF50)</f>
        <v>721.22201397342303</v>
      </c>
      <c r="FG57" s="166">
        <f>SUM(FG33:FG51)</f>
        <v>850.41226113251889</v>
      </c>
    </row>
    <row r="58" spans="2:163" ht="13" x14ac:dyDescent="0.3">
      <c r="AG58" t="s">
        <v>147</v>
      </c>
      <c r="BO58" s="255" t="s">
        <v>27</v>
      </c>
      <c r="BP58" s="6">
        <f>BP57/12</f>
        <v>2.6536295761255119E-2</v>
      </c>
      <c r="BU58">
        <v>5</v>
      </c>
      <c r="BV58" s="366">
        <f t="shared" si="77"/>
        <v>17</v>
      </c>
      <c r="BW58" s="79">
        <f t="shared" si="78"/>
        <v>1.8731502890297732E-2</v>
      </c>
      <c r="BX58" s="545" t="s">
        <v>259</v>
      </c>
      <c r="CH58"/>
      <c r="CI58"/>
      <c r="CJ58" s="55"/>
      <c r="EI58" t="s">
        <v>182</v>
      </c>
      <c r="EJ58" s="17">
        <f t="shared" ref="EJ58:FG58" si="79">SUM(EJ33:EJ56)</f>
        <v>100</v>
      </c>
      <c r="EK58" s="17">
        <f t="shared" si="79"/>
        <v>106.97766614393143</v>
      </c>
      <c r="EL58" s="17">
        <f t="shared" si="79"/>
        <v>133.52640100782429</v>
      </c>
      <c r="EM58" s="17">
        <f t="shared" si="79"/>
        <v>177.54406728015402</v>
      </c>
      <c r="EN58" s="17">
        <f t="shared" si="79"/>
        <v>238.83651574372669</v>
      </c>
      <c r="EO58" s="17">
        <f t="shared" si="79"/>
        <v>349.74063788030139</v>
      </c>
      <c r="EP58" s="17">
        <f t="shared" si="79"/>
        <v>551.44979340605198</v>
      </c>
      <c r="EQ58" s="17">
        <f t="shared" si="79"/>
        <v>853.70283973343714</v>
      </c>
      <c r="ER58" s="17">
        <f t="shared" si="79"/>
        <v>1333.7604130037548</v>
      </c>
      <c r="ES58" s="17">
        <f t="shared" si="79"/>
        <v>2019.6394865453617</v>
      </c>
      <c r="ET58" s="17">
        <f t="shared" si="79"/>
        <v>2970.9964315932352</v>
      </c>
      <c r="EU58" s="17">
        <f t="shared" si="79"/>
        <v>4247.3783605843291</v>
      </c>
      <c r="EV58" s="17">
        <f t="shared" si="79"/>
        <v>5913.3466515839682</v>
      </c>
      <c r="EW58" s="17">
        <f t="shared" si="79"/>
        <v>7973.41386620923</v>
      </c>
      <c r="EX58" s="17">
        <f t="shared" si="79"/>
        <v>10548.705641278077</v>
      </c>
      <c r="EY58" s="17">
        <f t="shared" si="79"/>
        <v>13851.162248882258</v>
      </c>
      <c r="EZ58" s="17">
        <f t="shared" si="79"/>
        <v>17602.647782119107</v>
      </c>
      <c r="FA58" s="17">
        <f t="shared" si="79"/>
        <v>22652.708694545727</v>
      </c>
      <c r="FB58" s="17">
        <f t="shared" si="79"/>
        <v>1335.5208832002461</v>
      </c>
      <c r="FC58" s="17">
        <f t="shared" si="79"/>
        <v>1484.2927550877935</v>
      </c>
      <c r="FD58" s="17">
        <f t="shared" si="79"/>
        <v>1356.1737489091465</v>
      </c>
      <c r="FE58" s="17">
        <f t="shared" si="79"/>
        <v>1239.1135312935642</v>
      </c>
      <c r="FF58" s="17">
        <f t="shared" si="79"/>
        <v>1132.1575459411631</v>
      </c>
      <c r="FG58" s="17">
        <f t="shared" si="79"/>
        <v>1034.4336305434504</v>
      </c>
    </row>
    <row r="59" spans="2:163" ht="13" x14ac:dyDescent="0.3">
      <c r="AN59" s="86"/>
      <c r="AO59" s="86"/>
      <c r="AP59" s="86"/>
      <c r="BO59" s="255" t="s">
        <v>106</v>
      </c>
      <c r="BP59">
        <f>BP57/17</f>
        <v>1.8731502890297732E-2</v>
      </c>
      <c r="BQ59" s="12"/>
      <c r="BU59">
        <v>6</v>
      </c>
      <c r="BV59" s="366">
        <f t="shared" si="77"/>
        <v>18</v>
      </c>
      <c r="BW59" s="79">
        <f t="shared" si="78"/>
        <v>1.7690863840836749E-2</v>
      </c>
      <c r="BX59" s="545"/>
      <c r="CH59"/>
      <c r="CI59"/>
      <c r="CJ59" s="55"/>
      <c r="EI59" t="s">
        <v>183</v>
      </c>
      <c r="EJ59" s="37">
        <f t="shared" ref="EJ59:FG59" si="80">IF(EJ58=0,0,IF(EJ57/EJ58=1,0.99,EJ57/EJ58))</f>
        <v>0</v>
      </c>
      <c r="EK59" s="37">
        <f t="shared" si="80"/>
        <v>0</v>
      </c>
      <c r="EL59" s="37">
        <f t="shared" si="80"/>
        <v>0</v>
      </c>
      <c r="EM59" s="37">
        <f t="shared" si="80"/>
        <v>0</v>
      </c>
      <c r="EN59" s="37">
        <f t="shared" si="80"/>
        <v>0</v>
      </c>
      <c r="EO59" s="37">
        <f t="shared" si="80"/>
        <v>0.18206762707589788</v>
      </c>
      <c r="EP59" s="37">
        <f t="shared" si="80"/>
        <v>0.12352815941056508</v>
      </c>
      <c r="EQ59" s="37">
        <f t="shared" si="80"/>
        <v>9.9595392433972196E-2</v>
      </c>
      <c r="ER59" s="37">
        <f t="shared" si="80"/>
        <v>8.4763166331309411E-2</v>
      </c>
      <c r="ES59" s="37">
        <f t="shared" si="80"/>
        <v>7.5301859980195285E-2</v>
      </c>
      <c r="ET59" s="37">
        <f t="shared" si="80"/>
        <v>7.4958829689095938E-2</v>
      </c>
      <c r="EU59" s="37">
        <f t="shared" si="80"/>
        <v>8.2673030585925233E-2</v>
      </c>
      <c r="EV59" s="37">
        <f t="shared" si="80"/>
        <v>9.192893248282237E-2</v>
      </c>
      <c r="EW59" s="37">
        <f t="shared" si="80"/>
        <v>0.10651538606844278</v>
      </c>
      <c r="EX59" s="37">
        <f t="shared" si="80"/>
        <v>0.12191397995112888</v>
      </c>
      <c r="EY59" s="37">
        <f t="shared" si="80"/>
        <v>0.13658240115665032</v>
      </c>
      <c r="EZ59" s="37">
        <f t="shared" si="80"/>
        <v>0.15364618481996453</v>
      </c>
      <c r="FA59" s="37">
        <f t="shared" si="80"/>
        <v>0.16622334919214848</v>
      </c>
      <c r="FB59" s="37">
        <f t="shared" si="80"/>
        <v>0.19008264118780643</v>
      </c>
      <c r="FC59" s="37">
        <f t="shared" si="80"/>
        <v>0.22627076237400909</v>
      </c>
      <c r="FD59" s="37">
        <f t="shared" si="80"/>
        <v>0.32517692287497929</v>
      </c>
      <c r="FE59" s="37">
        <f t="shared" si="80"/>
        <v>0.45228869607041494</v>
      </c>
      <c r="FF59" s="37">
        <f t="shared" si="80"/>
        <v>0.63703326145644401</v>
      </c>
      <c r="FG59" s="37">
        <f t="shared" si="80"/>
        <v>0.82210422788144089</v>
      </c>
    </row>
    <row r="60" spans="2:163" ht="13" customHeight="1" x14ac:dyDescent="0.3">
      <c r="AG60" s="375" t="s">
        <v>88</v>
      </c>
      <c r="AH60" s="256" t="s">
        <v>148</v>
      </c>
      <c r="AW60" s="53" t="s">
        <v>33</v>
      </c>
      <c r="AX60" s="53"/>
      <c r="AY60" s="255"/>
      <c r="BA60" s="255"/>
      <c r="BU60">
        <v>7</v>
      </c>
      <c r="BV60" s="366">
        <f t="shared" si="77"/>
        <v>19</v>
      </c>
      <c r="BW60" s="79">
        <f t="shared" si="78"/>
        <v>1.6759765743950602E-2</v>
      </c>
      <c r="BX60" s="545"/>
      <c r="EI60" s="20"/>
    </row>
    <row r="61" spans="2:163" ht="13" x14ac:dyDescent="0.3">
      <c r="AG61" s="29">
        <v>2.4E-2</v>
      </c>
      <c r="AH61" s="18">
        <f>(LN(2))/AG61</f>
        <v>28.881132523331054</v>
      </c>
      <c r="AN61" s="254"/>
      <c r="AX61" s="255" t="s">
        <v>35</v>
      </c>
      <c r="AY61" s="255" t="s">
        <v>262</v>
      </c>
      <c r="AZ61" s="67" t="s">
        <v>17</v>
      </c>
      <c r="BA61" s="255"/>
      <c r="BO61" s="6" t="s">
        <v>19</v>
      </c>
      <c r="BR61" s="374"/>
      <c r="BU61">
        <v>8</v>
      </c>
      <c r="BV61" s="366">
        <f t="shared" si="77"/>
        <v>20</v>
      </c>
      <c r="BW61" s="79">
        <f t="shared" si="78"/>
        <v>1.5921777456753071E-2</v>
      </c>
      <c r="BX61" s="545"/>
    </row>
    <row r="62" spans="2:163" x14ac:dyDescent="0.25">
      <c r="AG62" s="29">
        <f t="shared" ref="AG62:AG83" si="81">AG61-0.001</f>
        <v>2.3E-2</v>
      </c>
      <c r="AH62" s="18">
        <f t="shared" ref="AH62:AH83" si="82">(LN(2))/AG62</f>
        <v>30.136833937388925</v>
      </c>
      <c r="BN62" s="546" t="s">
        <v>112</v>
      </c>
      <c r="BO62" s="82" t="s">
        <v>20</v>
      </c>
      <c r="BP62" s="44">
        <f>BP31</f>
        <v>3.5</v>
      </c>
      <c r="BQ62" s="12" t="s">
        <v>21</v>
      </c>
      <c r="BR62" s="374"/>
      <c r="BU62">
        <v>9</v>
      </c>
      <c r="BV62" s="366">
        <f t="shared" si="77"/>
        <v>21</v>
      </c>
      <c r="BW62" s="79">
        <f t="shared" si="78"/>
        <v>1.516359757786007E-2</v>
      </c>
      <c r="BX62" s="545"/>
    </row>
    <row r="63" spans="2:163" ht="13" x14ac:dyDescent="0.3">
      <c r="AG63" s="29">
        <f t="shared" si="81"/>
        <v>2.1999999999999999E-2</v>
      </c>
      <c r="AH63" s="18">
        <f t="shared" si="82"/>
        <v>31.506690025452059</v>
      </c>
      <c r="AX63" s="255"/>
      <c r="AZ63" s="36"/>
      <c r="BN63" s="546"/>
      <c r="BO63" s="82" t="s">
        <v>23</v>
      </c>
      <c r="BP63" s="46">
        <f>BP32</f>
        <v>0.7</v>
      </c>
      <c r="BQ63" t="s">
        <v>25</v>
      </c>
      <c r="BR63" s="48"/>
      <c r="BU63">
        <v>10</v>
      </c>
      <c r="BV63" s="366">
        <f t="shared" si="77"/>
        <v>22</v>
      </c>
      <c r="BW63" s="79">
        <f t="shared" si="78"/>
        <v>1.4474343142502793E-2</v>
      </c>
      <c r="BX63" s="545"/>
    </row>
    <row r="64" spans="2:163" ht="13" x14ac:dyDescent="0.3">
      <c r="AG64" s="29">
        <f t="shared" si="81"/>
        <v>2.0999999999999998E-2</v>
      </c>
      <c r="AH64" s="18">
        <f t="shared" si="82"/>
        <v>33.007008598092639</v>
      </c>
      <c r="AU64" s="68"/>
      <c r="AV64" s="68"/>
      <c r="AX64" s="101" t="s">
        <v>261</v>
      </c>
      <c r="AY64">
        <v>1993</v>
      </c>
      <c r="AZ64" s="34">
        <v>3.0571428571428572E-2</v>
      </c>
      <c r="BN64" s="546"/>
      <c r="BO64" s="82" t="s">
        <v>107</v>
      </c>
      <c r="BP64" s="44">
        <v>0.7</v>
      </c>
      <c r="BQ64" t="s">
        <v>22</v>
      </c>
      <c r="BU64">
        <v>11</v>
      </c>
      <c r="BV64" s="366">
        <f t="shared" si="77"/>
        <v>23</v>
      </c>
      <c r="BW64" s="79">
        <f t="shared" si="78"/>
        <v>1.3845023875437455E-2</v>
      </c>
      <c r="BX64" s="545"/>
    </row>
    <row r="65" spans="33:148" ht="13" x14ac:dyDescent="0.3">
      <c r="AG65" s="29">
        <f t="shared" si="81"/>
        <v>1.9999999999999997E-2</v>
      </c>
      <c r="AH65" s="18">
        <f t="shared" si="82"/>
        <v>34.657359027997266</v>
      </c>
      <c r="AU65" s="144"/>
      <c r="AV65" s="144"/>
      <c r="AX65" s="101" t="s">
        <v>254</v>
      </c>
      <c r="AY65">
        <v>2007</v>
      </c>
      <c r="AZ65" s="34">
        <v>2.7285714285714285E-2</v>
      </c>
      <c r="BO65" t="s">
        <v>105</v>
      </c>
      <c r="BP65">
        <f>(1+(BP62*BP63))*BP64</f>
        <v>2.4149999999999996</v>
      </c>
      <c r="BU65">
        <v>12</v>
      </c>
      <c r="BV65" s="366">
        <f t="shared" si="77"/>
        <v>24</v>
      </c>
      <c r="BW65" s="79">
        <f t="shared" si="78"/>
        <v>1.326814788062756E-2</v>
      </c>
      <c r="BX65" s="545"/>
    </row>
    <row r="66" spans="33:148" ht="13" x14ac:dyDescent="0.3">
      <c r="AG66" s="29">
        <f t="shared" si="81"/>
        <v>1.8999999999999996E-2</v>
      </c>
      <c r="AH66" s="18">
        <f t="shared" si="82"/>
        <v>36.481430555786602</v>
      </c>
      <c r="AR66" s="285"/>
      <c r="AS66" s="285"/>
      <c r="AT66" s="285"/>
      <c r="AU66" s="286"/>
      <c r="AV66" s="286"/>
      <c r="AW66" s="285"/>
      <c r="AX66" s="287" t="s">
        <v>37</v>
      </c>
      <c r="AZ66" s="36">
        <v>2.3E-2</v>
      </c>
      <c r="BO66" s="255" t="s">
        <v>26</v>
      </c>
      <c r="BP66">
        <f>LN(BP65)</f>
        <v>0.88169928710453582</v>
      </c>
      <c r="BU66">
        <v>13</v>
      </c>
      <c r="BV66" s="366">
        <f t="shared" si="77"/>
        <v>25</v>
      </c>
      <c r="BW66" s="79">
        <f t="shared" si="78"/>
        <v>1.2737421965402458E-2</v>
      </c>
      <c r="BX66" s="545"/>
    </row>
    <row r="67" spans="33:148" ht="13" x14ac:dyDescent="0.3">
      <c r="AG67" s="29">
        <f t="shared" si="81"/>
        <v>1.7999999999999995E-2</v>
      </c>
      <c r="AH67" s="18">
        <f t="shared" si="82"/>
        <v>38.508176697774751</v>
      </c>
      <c r="AU67" s="144"/>
      <c r="AV67" s="144"/>
      <c r="AX67" s="101" t="s">
        <v>275</v>
      </c>
      <c r="AY67">
        <v>1999</v>
      </c>
      <c r="AZ67" s="34">
        <v>2.2936022002005126E-2</v>
      </c>
      <c r="BO67" s="255" t="s">
        <v>27</v>
      </c>
      <c r="BP67" s="6">
        <f>BP66/15</f>
        <v>5.8779952473635724E-2</v>
      </c>
      <c r="BU67">
        <v>14</v>
      </c>
      <c r="BV67" s="366">
        <f t="shared" si="77"/>
        <v>26</v>
      </c>
      <c r="BW67" s="79">
        <f t="shared" si="78"/>
        <v>1.2247521120579287E-2</v>
      </c>
      <c r="BX67" s="545"/>
      <c r="CD67" s="32"/>
      <c r="CE67" s="32"/>
    </row>
    <row r="68" spans="33:148" ht="12.75" customHeight="1" x14ac:dyDescent="0.3">
      <c r="AG68" s="29">
        <f t="shared" si="81"/>
        <v>1.6999999999999994E-2</v>
      </c>
      <c r="AH68" s="18">
        <f t="shared" si="82"/>
        <v>40.773363562349736</v>
      </c>
      <c r="AV68" s="60"/>
      <c r="AW68" s="60"/>
      <c r="AX68" s="101" t="s">
        <v>273</v>
      </c>
      <c r="AY68">
        <v>2002</v>
      </c>
      <c r="AZ68" s="34">
        <v>2.2714285714285715E-2</v>
      </c>
      <c r="BO68" s="255"/>
      <c r="BU68">
        <v>15</v>
      </c>
      <c r="BV68" s="366">
        <f t="shared" si="77"/>
        <v>27</v>
      </c>
      <c r="BW68" s="79">
        <f t="shared" si="78"/>
        <v>1.1793909227224498E-2</v>
      </c>
      <c r="BX68" s="545"/>
      <c r="BY68"/>
      <c r="BZ68"/>
      <c r="CA68"/>
      <c r="CD68" s="32"/>
      <c r="CE68" s="32"/>
    </row>
    <row r="69" spans="33:148" ht="12.75" customHeight="1" x14ac:dyDescent="0.3">
      <c r="AG69" s="29">
        <f t="shared" si="81"/>
        <v>1.5999999999999993E-2</v>
      </c>
      <c r="AH69" s="18">
        <f t="shared" si="82"/>
        <v>43.321698784996599</v>
      </c>
      <c r="AU69" s="60"/>
      <c r="AV69" s="60"/>
      <c r="AW69" s="60"/>
      <c r="AX69" s="101" t="s">
        <v>263</v>
      </c>
      <c r="AY69">
        <v>1994</v>
      </c>
      <c r="AZ69" s="288">
        <v>2.1428571428571429E-2</v>
      </c>
      <c r="BA69" s="547" t="s">
        <v>280</v>
      </c>
      <c r="CD69" s="32"/>
      <c r="CE69" s="32"/>
    </row>
    <row r="70" spans="33:148" ht="12.75" customHeight="1" x14ac:dyDescent="0.3">
      <c r="AG70" s="29">
        <f t="shared" si="81"/>
        <v>1.4999999999999993E-2</v>
      </c>
      <c r="AH70" s="18">
        <f t="shared" si="82"/>
        <v>46.209812037329712</v>
      </c>
      <c r="AU70" s="60"/>
      <c r="AV70" s="60"/>
      <c r="AW70" s="60"/>
      <c r="AX70" s="101" t="s">
        <v>267</v>
      </c>
      <c r="AY70" s="20">
        <v>1997</v>
      </c>
      <c r="AZ70" s="289">
        <v>2.1428571428571429E-2</v>
      </c>
      <c r="BA70" s="547"/>
      <c r="BO70" s="49" t="s">
        <v>236</v>
      </c>
      <c r="BP70" s="49"/>
      <c r="BQ70" s="49"/>
      <c r="BR70" s="49"/>
      <c r="BS70" s="49"/>
      <c r="BT70" s="12"/>
      <c r="BU70" s="12"/>
      <c r="CD70" s="32"/>
      <c r="CE70" s="32"/>
    </row>
    <row r="71" spans="33:148" ht="12.75" customHeight="1" x14ac:dyDescent="0.3">
      <c r="AG71" s="29">
        <f t="shared" si="81"/>
        <v>1.3999999999999992E-2</v>
      </c>
      <c r="AH71" s="18">
        <f t="shared" si="82"/>
        <v>49.51051289713898</v>
      </c>
      <c r="AV71" s="159"/>
      <c r="AW71" s="159"/>
      <c r="AX71" s="255" t="s">
        <v>36</v>
      </c>
      <c r="AY71">
        <v>1999</v>
      </c>
      <c r="AZ71" s="290">
        <v>2.1000000000000001E-2</v>
      </c>
      <c r="BA71" s="547"/>
      <c r="BO71" s="65">
        <v>5.0000000000000001E-3</v>
      </c>
      <c r="BP71" t="s">
        <v>28</v>
      </c>
      <c r="BQ71" s="50">
        <f>1-BO71</f>
        <v>0.995</v>
      </c>
      <c r="BR71" t="s">
        <v>29</v>
      </c>
      <c r="BT71" t="s">
        <v>30</v>
      </c>
      <c r="CD71" s="32"/>
      <c r="CE71" s="32"/>
      <c r="ER71" s="18"/>
    </row>
    <row r="72" spans="33:148" ht="13" x14ac:dyDescent="0.3">
      <c r="AG72" s="29">
        <f t="shared" si="81"/>
        <v>1.2999999999999991E-2</v>
      </c>
      <c r="AH72" s="18">
        <f t="shared" si="82"/>
        <v>53.319013889226596</v>
      </c>
      <c r="AU72" s="159"/>
      <c r="AV72" s="159"/>
      <c r="AW72" s="159"/>
      <c r="AX72" s="101" t="s">
        <v>254</v>
      </c>
      <c r="AY72">
        <v>2007</v>
      </c>
      <c r="AZ72" s="288">
        <v>2.0714285714285713E-2</v>
      </c>
      <c r="BA72" s="547"/>
      <c r="BO72" s="12">
        <f>LN(BQ71)</f>
        <v>-5.0125418235442863E-3</v>
      </c>
      <c r="BP72" t="s">
        <v>31</v>
      </c>
      <c r="CD72" s="32"/>
      <c r="CE72" s="32"/>
    </row>
    <row r="73" spans="33:148" ht="13" x14ac:dyDescent="0.3">
      <c r="AG73" s="29">
        <f t="shared" si="81"/>
        <v>1.199999999999999E-2</v>
      </c>
      <c r="AH73" s="18">
        <f t="shared" si="82"/>
        <v>57.762265046662158</v>
      </c>
      <c r="AU73" s="159"/>
      <c r="AV73" s="159"/>
      <c r="AW73" s="159"/>
      <c r="AX73" s="101" t="s">
        <v>266</v>
      </c>
      <c r="AY73">
        <v>1996</v>
      </c>
      <c r="AZ73" s="288">
        <v>1.9857142857142858E-2</v>
      </c>
      <c r="BA73" s="547"/>
      <c r="BO73" s="51">
        <f>100*EXP(BO72*100)</f>
        <v>60.577043649072792</v>
      </c>
      <c r="BP73" s="52" t="s">
        <v>32</v>
      </c>
      <c r="BQ73" s="52"/>
      <c r="BR73" s="52"/>
      <c r="CA73"/>
      <c r="CB73"/>
      <c r="CC73"/>
      <c r="CD73"/>
      <c r="CE73"/>
      <c r="CF73"/>
    </row>
    <row r="74" spans="33:148" ht="12.75" customHeight="1" x14ac:dyDescent="0.3">
      <c r="AG74" s="29">
        <f t="shared" si="81"/>
        <v>1.0999999999999989E-2</v>
      </c>
      <c r="AH74" s="18">
        <f t="shared" si="82"/>
        <v>63.013380050904182</v>
      </c>
      <c r="AS74" s="22"/>
      <c r="AT74" s="22"/>
      <c r="AX74" s="101" t="s">
        <v>255</v>
      </c>
      <c r="AY74">
        <v>2007</v>
      </c>
      <c r="AZ74" s="288">
        <v>1.9571428571428573E-2</v>
      </c>
      <c r="BA74" s="547"/>
      <c r="BW74" s="548" t="s">
        <v>256</v>
      </c>
      <c r="BX74" s="548"/>
      <c r="BY74" s="548"/>
      <c r="BZ74" s="548"/>
      <c r="CA74" s="548"/>
      <c r="CB74" s="548"/>
      <c r="CC74"/>
      <c r="CD74"/>
      <c r="CE74"/>
      <c r="CF74"/>
    </row>
    <row r="75" spans="33:148" ht="13" x14ac:dyDescent="0.3">
      <c r="AG75" s="29">
        <f t="shared" si="81"/>
        <v>9.9999999999999881E-3</v>
      </c>
      <c r="AH75" s="18">
        <f t="shared" si="82"/>
        <v>69.314718055994618</v>
      </c>
      <c r="AX75" s="255" t="s">
        <v>279</v>
      </c>
      <c r="AY75">
        <v>2016</v>
      </c>
      <c r="AZ75" s="290">
        <v>1.9E-2</v>
      </c>
      <c r="BA75" s="547"/>
      <c r="BO75" s="49" t="s">
        <v>237</v>
      </c>
      <c r="BW75" s="548"/>
      <c r="BX75" s="548"/>
      <c r="BY75" s="548"/>
      <c r="BZ75" s="548"/>
      <c r="CA75" s="548"/>
      <c r="CB75" s="548"/>
    </row>
    <row r="76" spans="33:148" ht="13" x14ac:dyDescent="0.3">
      <c r="AG76" s="29">
        <f t="shared" si="81"/>
        <v>8.9999999999999872E-3</v>
      </c>
      <c r="AH76" s="18">
        <f t="shared" si="82"/>
        <v>77.016353395549586</v>
      </c>
      <c r="AX76" s="101" t="s">
        <v>264</v>
      </c>
      <c r="AY76">
        <v>1995</v>
      </c>
      <c r="AZ76" s="288">
        <v>1.8714285714285715E-2</v>
      </c>
      <c r="BA76" s="547"/>
      <c r="BO76" s="65">
        <v>0.01</v>
      </c>
      <c r="BP76" t="s">
        <v>28</v>
      </c>
      <c r="BQ76" s="50">
        <f>1-BO76</f>
        <v>0.99</v>
      </c>
      <c r="BR76" t="s">
        <v>29</v>
      </c>
      <c r="BW76" s="548"/>
      <c r="BX76" s="548"/>
      <c r="BY76" s="548"/>
      <c r="BZ76" s="548"/>
      <c r="CA76" s="548"/>
      <c r="CB76" s="548"/>
    </row>
    <row r="77" spans="33:148" ht="13" x14ac:dyDescent="0.3">
      <c r="AG77" s="29">
        <f t="shared" si="81"/>
        <v>7.9999999999999863E-3</v>
      </c>
      <c r="AH77" s="18">
        <f t="shared" si="82"/>
        <v>86.643397569993311</v>
      </c>
      <c r="AX77" s="101" t="s">
        <v>254</v>
      </c>
      <c r="AY77">
        <v>2007</v>
      </c>
      <c r="AZ77" s="288">
        <v>1.7428571428571429E-2</v>
      </c>
      <c r="BA77" s="547"/>
      <c r="BO77" s="12">
        <f>LN(BQ76)</f>
        <v>-1.0050335853501451E-2</v>
      </c>
      <c r="BP77" t="s">
        <v>31</v>
      </c>
      <c r="BW77" s="548"/>
      <c r="BX77" s="548"/>
      <c r="BY77" s="548"/>
      <c r="BZ77" s="548"/>
      <c r="CA77" s="548"/>
      <c r="CB77" s="548"/>
    </row>
    <row r="78" spans="33:148" ht="12.75" customHeight="1" x14ac:dyDescent="0.3">
      <c r="AG78" s="29">
        <f t="shared" si="81"/>
        <v>6.9999999999999863E-3</v>
      </c>
      <c r="AH78" s="18">
        <f t="shared" si="82"/>
        <v>99.021025794278088</v>
      </c>
      <c r="AX78" s="255" t="s">
        <v>131</v>
      </c>
      <c r="AY78">
        <v>2000</v>
      </c>
      <c r="AZ78" s="290">
        <v>1.7000000000000001E-2</v>
      </c>
      <c r="BA78" s="547"/>
      <c r="BO78" s="276">
        <v>3</v>
      </c>
      <c r="BP78" s="277">
        <v>19</v>
      </c>
      <c r="BQ78" t="s">
        <v>238</v>
      </c>
      <c r="BT78">
        <f>BO78*BP78</f>
        <v>57</v>
      </c>
      <c r="BU78" t="s">
        <v>239</v>
      </c>
      <c r="BW78" s="548"/>
      <c r="BX78" s="548"/>
      <c r="BY78" s="548"/>
      <c r="BZ78" s="548"/>
      <c r="CA78" s="548"/>
      <c r="CB78" s="548"/>
      <c r="CC78" s="33"/>
      <c r="CD78" s="33"/>
      <c r="CE78" s="33"/>
      <c r="CF78" s="33"/>
      <c r="CG78" s="33"/>
      <c r="CH78" s="33"/>
      <c r="CI78" s="33"/>
      <c r="CJ78" s="33"/>
      <c r="CK78" s="33"/>
      <c r="CL78" s="88"/>
    </row>
    <row r="79" spans="33:148" ht="13" x14ac:dyDescent="0.3">
      <c r="AG79" s="29">
        <f t="shared" si="81"/>
        <v>5.9999999999999862E-3</v>
      </c>
      <c r="AH79" s="18">
        <f t="shared" si="82"/>
        <v>115.52453009332447</v>
      </c>
      <c r="AX79" s="101" t="s">
        <v>274</v>
      </c>
      <c r="AY79">
        <v>2002</v>
      </c>
      <c r="AZ79" s="34">
        <v>1.3571428571428571E-2</v>
      </c>
      <c r="BO79" s="51">
        <f>100*EXP(BO77*BT78)</f>
        <v>56.390519045238761</v>
      </c>
      <c r="BP79" s="52" t="s">
        <v>240</v>
      </c>
      <c r="BQ79" s="52">
        <f>BT78</f>
        <v>57</v>
      </c>
      <c r="BR79" s="52" t="s">
        <v>241</v>
      </c>
      <c r="DO79" s="35"/>
      <c r="DP79" s="391"/>
      <c r="DQ79" s="35"/>
      <c r="DR79" s="34"/>
      <c r="DS79" s="34"/>
      <c r="DU79" s="36"/>
      <c r="DV79" s="34"/>
      <c r="EH79" s="21"/>
      <c r="EI79" s="18"/>
    </row>
    <row r="80" spans="33:148" s="20" customFormat="1" ht="12.75" customHeight="1" x14ac:dyDescent="0.3">
      <c r="AG80" s="29">
        <f t="shared" si="81"/>
        <v>4.9999999999999862E-3</v>
      </c>
      <c r="AH80" s="18">
        <f t="shared" si="82"/>
        <v>138.62943611198943</v>
      </c>
      <c r="AR80"/>
      <c r="AX80" s="101" t="s">
        <v>265</v>
      </c>
      <c r="AY80">
        <v>1995</v>
      </c>
      <c r="AZ80" s="34">
        <v>1.1428571428571429E-2</v>
      </c>
      <c r="BB80" s="300"/>
      <c r="BE80"/>
      <c r="BK80"/>
      <c r="BL80"/>
      <c r="BO80"/>
      <c r="BP80"/>
      <c r="BQ80"/>
      <c r="BR80"/>
      <c r="BS80"/>
      <c r="BW80" s="54" t="s">
        <v>242</v>
      </c>
      <c r="CD80" s="10"/>
      <c r="CE80" s="10"/>
      <c r="CF80" s="10"/>
      <c r="CM80"/>
      <c r="CN80"/>
      <c r="CO80"/>
      <c r="CP80"/>
      <c r="CQ80"/>
      <c r="CR80"/>
      <c r="CS80"/>
      <c r="CT80"/>
      <c r="CU80"/>
      <c r="CV80"/>
      <c r="CW80"/>
      <c r="CX80"/>
      <c r="CY80"/>
      <c r="CZ80"/>
      <c r="DA80"/>
      <c r="DB80"/>
      <c r="DC80"/>
      <c r="DD80"/>
      <c r="DE80"/>
      <c r="DF80"/>
      <c r="DG80"/>
      <c r="DH80"/>
      <c r="DI80"/>
      <c r="DJ80"/>
      <c r="DK80"/>
      <c r="DL80"/>
      <c r="DM80"/>
      <c r="DN80"/>
      <c r="DO80"/>
      <c r="DP80" s="389"/>
      <c r="DQ80"/>
      <c r="DR80"/>
      <c r="DS80"/>
      <c r="DT80"/>
      <c r="DU80" s="39"/>
      <c r="DW80"/>
      <c r="DX80"/>
      <c r="DY80"/>
      <c r="DZ80"/>
      <c r="EA80"/>
      <c r="EB80"/>
      <c r="EC80"/>
      <c r="ED80"/>
      <c r="EE80"/>
      <c r="EF80"/>
      <c r="EG80"/>
      <c r="EH80" s="40"/>
      <c r="EI80" s="38"/>
    </row>
    <row r="81" spans="33:139" ht="13" x14ac:dyDescent="0.3">
      <c r="AG81" s="29">
        <f t="shared" si="81"/>
        <v>3.9999999999999862E-3</v>
      </c>
      <c r="AH81" s="18">
        <f t="shared" si="82"/>
        <v>173.28679513998691</v>
      </c>
      <c r="AX81" s="101" t="s">
        <v>276</v>
      </c>
      <c r="AY81">
        <v>1999</v>
      </c>
      <c r="AZ81" s="34">
        <v>1.035681555964402E-2</v>
      </c>
      <c r="BW81" s="374" t="s">
        <v>243</v>
      </c>
      <c r="CG81"/>
      <c r="DO81"/>
      <c r="DP81" s="389"/>
      <c r="DQ81"/>
      <c r="EH81" s="41"/>
      <c r="EI81" s="18"/>
    </row>
    <row r="82" spans="33:139" ht="12.75" customHeight="1" x14ac:dyDescent="0.3">
      <c r="AG82" s="29">
        <f t="shared" si="81"/>
        <v>2.9999999999999862E-3</v>
      </c>
      <c r="AH82" s="18">
        <f t="shared" si="82"/>
        <v>231.04906018664948</v>
      </c>
      <c r="AX82" s="255" t="s">
        <v>260</v>
      </c>
      <c r="AY82">
        <v>2000</v>
      </c>
      <c r="AZ82" s="34">
        <v>0.01</v>
      </c>
      <c r="BQ82" s="18"/>
      <c r="CG82"/>
      <c r="DO82"/>
      <c r="DP82" s="389"/>
      <c r="DQ82"/>
    </row>
    <row r="83" spans="33:139" ht="13" x14ac:dyDescent="0.3">
      <c r="AG83" s="29">
        <f t="shared" si="81"/>
        <v>1.9999999999999862E-3</v>
      </c>
      <c r="AH83" s="18">
        <f t="shared" si="82"/>
        <v>346.57359027997506</v>
      </c>
      <c r="AX83" s="101" t="s">
        <v>255</v>
      </c>
      <c r="AY83">
        <v>2007</v>
      </c>
      <c r="AZ83" s="34">
        <v>8.7142857142857143E-3</v>
      </c>
      <c r="BG83" s="6"/>
      <c r="CD83" s="43"/>
      <c r="CE83" s="43"/>
      <c r="CF83" s="366"/>
      <c r="CG83" s="366"/>
      <c r="DO83"/>
      <c r="DP83" s="389"/>
      <c r="DQ83"/>
      <c r="EH83" s="21"/>
      <c r="EI83" s="18"/>
    </row>
    <row r="84" spans="33:139" ht="13" x14ac:dyDescent="0.3">
      <c r="AX84" s="101" t="s">
        <v>272</v>
      </c>
      <c r="AY84">
        <v>2001</v>
      </c>
      <c r="AZ84" s="34">
        <v>6.7142857142857143E-3</v>
      </c>
      <c r="BR84" s="21"/>
      <c r="BS84" s="21"/>
      <c r="CG84"/>
      <c r="DO84"/>
      <c r="DP84" s="389"/>
      <c r="DQ84"/>
      <c r="EH84" s="21"/>
      <c r="EI84" s="18"/>
    </row>
    <row r="85" spans="33:139" ht="13" x14ac:dyDescent="0.3">
      <c r="AX85" s="101" t="s">
        <v>268</v>
      </c>
      <c r="AY85">
        <v>1999</v>
      </c>
      <c r="AZ85" s="34">
        <v>4.7142857142857143E-3</v>
      </c>
      <c r="CD85" s="366"/>
      <c r="CE85" s="366"/>
      <c r="CF85" s="366"/>
      <c r="CG85" s="366"/>
      <c r="DO85"/>
      <c r="DP85" s="389"/>
      <c r="DQ85"/>
      <c r="EH85" s="21"/>
      <c r="EI85" s="18"/>
    </row>
    <row r="86" spans="33:139" ht="50" x14ac:dyDescent="0.3">
      <c r="AX86" s="101" t="s">
        <v>278</v>
      </c>
      <c r="AY86">
        <v>1999</v>
      </c>
      <c r="AZ86" s="288">
        <v>3.9670639760890931E-3</v>
      </c>
      <c r="BA86" s="521" t="s">
        <v>281</v>
      </c>
      <c r="BZ86" s="364"/>
      <c r="CA86" s="368" t="s">
        <v>249</v>
      </c>
      <c r="CB86" s="257" t="s">
        <v>247</v>
      </c>
      <c r="CC86" s="360" t="s">
        <v>248</v>
      </c>
      <c r="CD86" s="368" t="s">
        <v>315</v>
      </c>
      <c r="CE86" s="368"/>
      <c r="CG86" s="366"/>
      <c r="DU86" s="44"/>
      <c r="DV86" s="44"/>
    </row>
    <row r="87" spans="33:139" ht="37.5" x14ac:dyDescent="0.3">
      <c r="AX87" s="101" t="s">
        <v>271</v>
      </c>
      <c r="AY87">
        <v>2000</v>
      </c>
      <c r="AZ87" s="288">
        <v>3.4285714285714288E-3</v>
      </c>
      <c r="BA87" s="521"/>
      <c r="BZ87" s="368" t="s">
        <v>245</v>
      </c>
      <c r="CA87" s="368" t="s">
        <v>244</v>
      </c>
      <c r="CB87" s="368">
        <f>BV127</f>
        <v>0</v>
      </c>
      <c r="CC87" s="368" t="s">
        <v>246</v>
      </c>
      <c r="CD87" s="364"/>
      <c r="CE87" s="364"/>
      <c r="CF87" s="255" t="s">
        <v>250</v>
      </c>
      <c r="CG87" s="366"/>
    </row>
    <row r="88" spans="33:139" ht="13" x14ac:dyDescent="0.3">
      <c r="AX88" s="101" t="s">
        <v>269</v>
      </c>
      <c r="AY88">
        <v>1999</v>
      </c>
      <c r="AZ88" s="288">
        <v>3.2857142857142855E-3</v>
      </c>
      <c r="BA88" s="521"/>
      <c r="BY88" s="255">
        <v>40</v>
      </c>
      <c r="BZ88" s="52">
        <v>0</v>
      </c>
      <c r="CA88" s="283">
        <v>1E-3</v>
      </c>
      <c r="CB88" s="52">
        <v>40</v>
      </c>
      <c r="CC88" s="74">
        <f t="shared" ref="CC88:CC106" si="83">12+CB88</f>
        <v>52</v>
      </c>
      <c r="CD88" s="27">
        <f t="shared" ref="CD88:CD106" si="84">-$CF$91*LN(CA88)+$CF$88</f>
        <v>39.538776394910684</v>
      </c>
      <c r="CE88" s="27"/>
      <c r="CF88" s="282">
        <v>5</v>
      </c>
      <c r="CG88" s="366"/>
    </row>
    <row r="89" spans="33:139" ht="13" x14ac:dyDescent="0.3">
      <c r="AX89" s="101" t="s">
        <v>255</v>
      </c>
      <c r="AY89">
        <v>2007</v>
      </c>
      <c r="AZ89" s="288">
        <v>3.0000000000000001E-3</v>
      </c>
      <c r="BA89" s="521"/>
      <c r="BY89" s="255">
        <v>30</v>
      </c>
      <c r="BZ89" s="52">
        <v>10</v>
      </c>
      <c r="CA89" s="281">
        <f t="shared" ref="CA89:CA106" si="85">BZ89*20/8000</f>
        <v>2.5000000000000001E-2</v>
      </c>
      <c r="CB89" s="52">
        <v>30</v>
      </c>
      <c r="CC89" s="74">
        <f t="shared" si="83"/>
        <v>42</v>
      </c>
      <c r="CD89" s="27">
        <f t="shared" si="84"/>
        <v>23.444397270569681</v>
      </c>
      <c r="CE89" s="27"/>
      <c r="CG89" s="366"/>
    </row>
    <row r="90" spans="33:139" ht="13" x14ac:dyDescent="0.3">
      <c r="AX90" s="101" t="s">
        <v>270</v>
      </c>
      <c r="AY90">
        <v>2000</v>
      </c>
      <c r="AZ90" s="288">
        <v>2.142857142857143E-3</v>
      </c>
      <c r="BA90" s="521"/>
      <c r="BY90" s="255">
        <v>20</v>
      </c>
      <c r="BZ90" s="52">
        <v>25</v>
      </c>
      <c r="CA90" s="281">
        <f t="shared" si="85"/>
        <v>6.25E-2</v>
      </c>
      <c r="CB90" s="52">
        <v>20</v>
      </c>
      <c r="CC90" s="74">
        <f t="shared" si="83"/>
        <v>32</v>
      </c>
      <c r="CD90" s="27">
        <f t="shared" si="84"/>
        <v>18.862943611198908</v>
      </c>
      <c r="CE90" s="27"/>
      <c r="CF90" s="255" t="s">
        <v>251</v>
      </c>
      <c r="CG90" s="366"/>
    </row>
    <row r="91" spans="33:139" ht="13" x14ac:dyDescent="0.3">
      <c r="AX91" s="101" t="s">
        <v>277</v>
      </c>
      <c r="AY91">
        <v>1999</v>
      </c>
      <c r="AZ91" s="288">
        <v>-8.0662155061252579E-3</v>
      </c>
      <c r="BA91" s="521"/>
      <c r="BT91">
        <v>1.45</v>
      </c>
      <c r="BU91">
        <v>16.2</v>
      </c>
      <c r="BV91" s="284">
        <f>LN(BT91)/BU91</f>
        <v>2.2936022002005126E-2</v>
      </c>
      <c r="BY91" s="255">
        <v>17</v>
      </c>
      <c r="BZ91" s="52">
        <v>40</v>
      </c>
      <c r="CA91" s="281">
        <f t="shared" si="85"/>
        <v>0.1</v>
      </c>
      <c r="CB91" s="52">
        <v>17</v>
      </c>
      <c r="CC91" s="74">
        <f t="shared" si="83"/>
        <v>29</v>
      </c>
      <c r="CD91" s="27">
        <f t="shared" si="84"/>
        <v>16.512925464970227</v>
      </c>
      <c r="CE91" s="27"/>
      <c r="CF91" s="282">
        <v>5</v>
      </c>
      <c r="CO91" s="375"/>
      <c r="CP91" s="375"/>
      <c r="CQ91" s="375"/>
      <c r="CR91" s="375"/>
    </row>
    <row r="92" spans="33:139" ht="13" x14ac:dyDescent="0.3">
      <c r="BT92">
        <v>1.22</v>
      </c>
      <c r="BU92">
        <v>19.2</v>
      </c>
      <c r="BV92" s="284">
        <f>LN(BT92)/BU92</f>
        <v>1.035681555964402E-2</v>
      </c>
      <c r="BZ92" s="278">
        <v>50</v>
      </c>
      <c r="CA92" s="280">
        <f t="shared" si="85"/>
        <v>0.125</v>
      </c>
      <c r="CB92" s="279">
        <v>14.285714285714285</v>
      </c>
      <c r="CC92" s="279">
        <f t="shared" si="83"/>
        <v>26.285714285714285</v>
      </c>
      <c r="CD92" s="27">
        <f t="shared" si="84"/>
        <v>15.397207708399179</v>
      </c>
      <c r="CE92" s="27"/>
      <c r="CO92" s="375"/>
      <c r="CP92" s="375"/>
      <c r="CQ92" s="375"/>
      <c r="CR92" s="375"/>
    </row>
    <row r="93" spans="33:139" x14ac:dyDescent="0.25">
      <c r="BT93">
        <v>1.08</v>
      </c>
      <c r="BU93">
        <v>19.399999999999999</v>
      </c>
      <c r="BV93" s="284">
        <f>LN(BT93)/BU93</f>
        <v>3.9670639760890931E-3</v>
      </c>
      <c r="BZ93" s="278">
        <v>100</v>
      </c>
      <c r="CA93" s="280">
        <f t="shared" si="85"/>
        <v>0.25</v>
      </c>
      <c r="CB93" s="279">
        <v>12.5</v>
      </c>
      <c r="CC93" s="279">
        <f t="shared" si="83"/>
        <v>24.5</v>
      </c>
      <c r="CD93" s="27">
        <f t="shared" si="84"/>
        <v>11.931471805599454</v>
      </c>
      <c r="CE93" s="27"/>
    </row>
    <row r="94" spans="33:139" x14ac:dyDescent="0.25">
      <c r="BT94">
        <v>0.83</v>
      </c>
      <c r="BU94">
        <v>23.1</v>
      </c>
      <c r="BV94" s="284">
        <f>LN(BT94)/BU94</f>
        <v>-8.0662155061252579E-3</v>
      </c>
      <c r="BY94" s="58"/>
      <c r="BZ94" s="278">
        <v>150</v>
      </c>
      <c r="CA94" s="280">
        <f t="shared" si="85"/>
        <v>0.375</v>
      </c>
      <c r="CB94" s="279">
        <v>10.526315789473685</v>
      </c>
      <c r="CC94" s="279">
        <f t="shared" si="83"/>
        <v>22.526315789473685</v>
      </c>
      <c r="CD94" s="27">
        <f t="shared" si="84"/>
        <v>9.9041462650586318</v>
      </c>
      <c r="CE94" s="27"/>
    </row>
    <row r="95" spans="33:139" ht="12.75" customHeight="1" x14ac:dyDescent="0.3">
      <c r="BW95" s="47"/>
      <c r="BY95" s="58"/>
      <c r="BZ95" s="278">
        <v>200</v>
      </c>
      <c r="CA95" s="280">
        <f t="shared" si="85"/>
        <v>0.5</v>
      </c>
      <c r="CB95" s="279">
        <v>9.0909090909090917</v>
      </c>
      <c r="CC95" s="279">
        <f t="shared" si="83"/>
        <v>21.090909090909093</v>
      </c>
      <c r="CD95" s="27">
        <f t="shared" si="84"/>
        <v>8.465735902799727</v>
      </c>
      <c r="CE95" s="27"/>
    </row>
    <row r="96" spans="33:139" x14ac:dyDescent="0.25">
      <c r="BY96" s="58"/>
      <c r="BZ96" s="278">
        <v>250</v>
      </c>
      <c r="CA96" s="280">
        <f t="shared" si="85"/>
        <v>0.625</v>
      </c>
      <c r="CB96" s="279">
        <v>7.6923076923076916</v>
      </c>
      <c r="CC96" s="279">
        <f t="shared" si="83"/>
        <v>19.692307692307693</v>
      </c>
      <c r="CD96" s="27">
        <f t="shared" si="84"/>
        <v>7.3500181462286776</v>
      </c>
      <c r="CE96" s="27"/>
    </row>
    <row r="97" spans="39:132" x14ac:dyDescent="0.25">
      <c r="BY97" s="58"/>
      <c r="BZ97" s="278">
        <v>300</v>
      </c>
      <c r="CA97" s="280">
        <f t="shared" si="85"/>
        <v>0.75</v>
      </c>
      <c r="CB97" s="279">
        <v>6.666666666666667</v>
      </c>
      <c r="CC97" s="279">
        <f t="shared" si="83"/>
        <v>18.666666666666668</v>
      </c>
      <c r="CD97" s="27">
        <f t="shared" si="84"/>
        <v>6.4384103622589048</v>
      </c>
      <c r="CE97" s="27"/>
    </row>
    <row r="98" spans="39:132" x14ac:dyDescent="0.25">
      <c r="BY98" s="21"/>
      <c r="BZ98" s="278">
        <v>350</v>
      </c>
      <c r="CA98" s="280">
        <f t="shared" si="85"/>
        <v>0.875</v>
      </c>
      <c r="CB98" s="279">
        <v>4.2105263157894735</v>
      </c>
      <c r="CC98" s="279">
        <f t="shared" si="83"/>
        <v>16.210526315789473</v>
      </c>
      <c r="CD98" s="27">
        <f t="shared" si="84"/>
        <v>5.6676569631226128</v>
      </c>
      <c r="CE98" s="27"/>
      <c r="CG98" s="366"/>
      <c r="CH98" s="366"/>
      <c r="CI98" s="366"/>
      <c r="CJ98" s="366"/>
      <c r="CK98" s="366"/>
    </row>
    <row r="99" spans="39:132" ht="12.75" customHeight="1" x14ac:dyDescent="0.25">
      <c r="BX99" s="15"/>
      <c r="BY99" s="21"/>
      <c r="BZ99" s="278">
        <v>400</v>
      </c>
      <c r="CA99" s="280">
        <f t="shared" si="85"/>
        <v>1</v>
      </c>
      <c r="CB99" s="279">
        <v>3.6363636363636367</v>
      </c>
      <c r="CC99" s="279">
        <f t="shared" si="83"/>
        <v>15.636363636363637</v>
      </c>
      <c r="CD99" s="27">
        <f t="shared" si="84"/>
        <v>5</v>
      </c>
      <c r="CE99" s="27"/>
      <c r="CG99" s="366"/>
      <c r="CH99" s="366"/>
      <c r="CI99" s="366"/>
      <c r="CJ99" s="366"/>
      <c r="CK99" s="366"/>
    </row>
    <row r="100" spans="39:132" s="54" customFormat="1" ht="12.75" customHeight="1" x14ac:dyDescent="0.25">
      <c r="AM100"/>
      <c r="AN100"/>
      <c r="AO100"/>
      <c r="AP100"/>
      <c r="AQ100"/>
      <c r="AR100"/>
      <c r="AS100"/>
      <c r="AT100"/>
      <c r="AU100"/>
      <c r="AV100"/>
      <c r="AW100"/>
      <c r="AX100"/>
      <c r="AY100"/>
      <c r="BB100" s="377"/>
      <c r="BK100"/>
      <c r="BL100"/>
      <c r="BW100" s="255"/>
      <c r="BX100" s="255"/>
      <c r="BY100" s="107"/>
      <c r="BZ100" s="278">
        <v>450</v>
      </c>
      <c r="CA100" s="280">
        <f t="shared" si="85"/>
        <v>1.125</v>
      </c>
      <c r="CB100" s="279">
        <v>3.0769230769230771</v>
      </c>
      <c r="CC100" s="279">
        <f t="shared" si="83"/>
        <v>15.076923076923077</v>
      </c>
      <c r="CD100" s="27">
        <f t="shared" si="84"/>
        <v>4.4110848217180827</v>
      </c>
      <c r="CE100" s="27"/>
      <c r="CF100" s="255"/>
      <c r="CG100" s="366"/>
      <c r="CH100" s="366"/>
      <c r="CI100" s="366"/>
      <c r="CJ100" s="366"/>
      <c r="CK100" s="366"/>
      <c r="DA100"/>
      <c r="DB100"/>
      <c r="DC100"/>
      <c r="DD100"/>
      <c r="DE100"/>
      <c r="DF100"/>
      <c r="DG100"/>
      <c r="DH100"/>
      <c r="DI100"/>
      <c r="DJ100"/>
      <c r="DK100"/>
      <c r="DO100" s="100"/>
      <c r="DP100" s="57"/>
      <c r="DQ100" s="100"/>
    </row>
    <row r="101" spans="39:132" x14ac:dyDescent="0.25">
      <c r="BL101" s="29"/>
      <c r="BY101" s="21"/>
      <c r="BZ101" s="278">
        <v>500</v>
      </c>
      <c r="CA101" s="280">
        <f t="shared" si="85"/>
        <v>1.25</v>
      </c>
      <c r="CB101" s="279">
        <v>2.8571428571428572</v>
      </c>
      <c r="CC101" s="279">
        <f t="shared" si="83"/>
        <v>14.857142857142858</v>
      </c>
      <c r="CD101" s="27">
        <f t="shared" si="84"/>
        <v>3.8842822434289515</v>
      </c>
      <c r="CE101" s="27"/>
      <c r="CG101" s="366"/>
      <c r="CH101" s="366"/>
      <c r="CI101" s="366"/>
      <c r="CJ101" s="366"/>
      <c r="CK101" s="366"/>
    </row>
    <row r="102" spans="39:132" x14ac:dyDescent="0.25">
      <c r="BL102" s="29"/>
      <c r="BY102" s="21"/>
      <c r="BZ102" s="278">
        <v>550</v>
      </c>
      <c r="CA102" s="280">
        <f t="shared" si="85"/>
        <v>1.375</v>
      </c>
      <c r="CB102" s="279">
        <v>1.8181818181818181</v>
      </c>
      <c r="CC102" s="279">
        <f t="shared" si="83"/>
        <v>13.818181818181818</v>
      </c>
      <c r="CD102" s="27">
        <f t="shared" si="84"/>
        <v>3.4077313444073272</v>
      </c>
      <c r="CE102" s="27"/>
      <c r="CG102" s="366"/>
      <c r="CH102" s="366"/>
      <c r="CI102" s="366"/>
      <c r="CJ102" s="366"/>
      <c r="CK102" s="366"/>
      <c r="DU102" s="21"/>
      <c r="DV102" s="21"/>
    </row>
    <row r="103" spans="39:132" ht="12.75" customHeight="1" x14ac:dyDescent="0.25">
      <c r="BL103" s="29"/>
      <c r="BY103" s="21"/>
      <c r="BZ103" s="278">
        <v>600</v>
      </c>
      <c r="CA103" s="280">
        <f t="shared" si="85"/>
        <v>1.5</v>
      </c>
      <c r="CB103" s="279">
        <v>1.6216216216216215</v>
      </c>
      <c r="CC103" s="279">
        <f t="shared" si="83"/>
        <v>13.621621621621621</v>
      </c>
      <c r="CD103" s="27">
        <f t="shared" si="84"/>
        <v>2.9726744594591779</v>
      </c>
      <c r="CE103" s="27"/>
      <c r="CG103" s="60"/>
      <c r="CH103" s="60"/>
      <c r="CI103" s="60"/>
      <c r="CJ103" s="60"/>
      <c r="CK103" s="60"/>
      <c r="CL103" s="60"/>
      <c r="CM103" s="60"/>
      <c r="CN103" s="60"/>
      <c r="CO103" s="60"/>
      <c r="CP103" s="60"/>
      <c r="CQ103" s="60"/>
      <c r="CR103" s="60"/>
      <c r="CS103" s="60"/>
      <c r="CT103" s="60"/>
      <c r="CU103" s="60"/>
      <c r="CV103" s="60"/>
    </row>
    <row r="104" spans="39:132" x14ac:dyDescent="0.25">
      <c r="BL104" s="29"/>
      <c r="BY104" s="21">
        <v>1.4</v>
      </c>
      <c r="BZ104" s="52">
        <v>800</v>
      </c>
      <c r="CA104" s="281">
        <f t="shared" si="85"/>
        <v>2</v>
      </c>
      <c r="CB104" s="52">
        <v>1.4</v>
      </c>
      <c r="CC104" s="74">
        <f t="shared" si="83"/>
        <v>13.4</v>
      </c>
      <c r="CD104" s="27">
        <f t="shared" si="84"/>
        <v>1.5342640972002735</v>
      </c>
      <c r="CE104" s="27"/>
      <c r="CG104" s="60"/>
      <c r="CH104" s="60"/>
      <c r="CI104" s="60"/>
      <c r="CJ104" s="60"/>
      <c r="CK104" s="60"/>
      <c r="CL104" s="60"/>
      <c r="CM104" s="60"/>
      <c r="CN104" s="60"/>
      <c r="CO104" s="60"/>
      <c r="CP104" s="60"/>
      <c r="CQ104" s="60"/>
      <c r="CR104" s="60"/>
      <c r="CS104" s="60"/>
      <c r="CT104" s="60"/>
      <c r="CU104" s="60"/>
      <c r="CV104" s="60"/>
      <c r="DU104" s="12"/>
      <c r="DV104" s="12"/>
      <c r="DW104" s="12"/>
      <c r="DX104" s="12"/>
      <c r="DY104" s="12"/>
      <c r="DZ104" s="12"/>
      <c r="EA104" s="12"/>
    </row>
    <row r="105" spans="39:132" x14ac:dyDescent="0.25">
      <c r="BL105" s="29"/>
      <c r="BY105" s="21">
        <v>1</v>
      </c>
      <c r="BZ105" s="52">
        <v>1000</v>
      </c>
      <c r="CA105" s="281">
        <f t="shared" si="85"/>
        <v>2.5</v>
      </c>
      <c r="CB105" s="52">
        <v>1</v>
      </c>
      <c r="CC105" s="74">
        <f t="shared" si="83"/>
        <v>13</v>
      </c>
      <c r="CD105" s="27">
        <f t="shared" si="84"/>
        <v>0.41854634062922447</v>
      </c>
      <c r="CE105" s="27"/>
      <c r="CG105" s="60"/>
      <c r="CH105" s="60"/>
      <c r="CI105" s="60"/>
      <c r="CJ105" s="60"/>
      <c r="CK105" s="60"/>
      <c r="CL105" s="60"/>
      <c r="CM105" s="60"/>
      <c r="CN105" s="60"/>
      <c r="CO105" s="60"/>
      <c r="CP105" s="60"/>
      <c r="CQ105" s="60"/>
      <c r="CR105" s="60"/>
      <c r="CS105" s="60"/>
      <c r="CT105" s="60"/>
      <c r="CU105" s="60"/>
      <c r="CV105" s="60"/>
      <c r="DW105" s="255"/>
      <c r="DX105" s="255"/>
      <c r="DY105" s="255"/>
      <c r="DZ105" s="255"/>
      <c r="EA105" s="255"/>
    </row>
    <row r="106" spans="39:132" x14ac:dyDescent="0.25">
      <c r="BL106" s="29"/>
      <c r="BY106" s="21">
        <v>0.5</v>
      </c>
      <c r="BZ106" s="52">
        <v>1200</v>
      </c>
      <c r="CA106" s="281">
        <f t="shared" si="85"/>
        <v>3</v>
      </c>
      <c r="CB106" s="52">
        <v>0.5</v>
      </c>
      <c r="CC106" s="74">
        <f t="shared" si="83"/>
        <v>12.5</v>
      </c>
      <c r="CD106" s="27">
        <f t="shared" si="84"/>
        <v>-0.49306144334054913</v>
      </c>
      <c r="CE106" s="27"/>
      <c r="EB106" s="29"/>
    </row>
    <row r="107" spans="39:132" x14ac:dyDescent="0.25">
      <c r="BL107" s="29"/>
      <c r="BY107" s="21"/>
      <c r="CB107" s="101"/>
      <c r="CC107" s="27"/>
      <c r="CD107" s="108"/>
      <c r="CE107" s="108"/>
      <c r="CF107" s="109"/>
      <c r="EB107" s="29"/>
    </row>
    <row r="108" spans="39:132" x14ac:dyDescent="0.25">
      <c r="BL108" s="29"/>
      <c r="BY108" s="58"/>
      <c r="CB108" s="101"/>
      <c r="CC108" s="27"/>
      <c r="CD108" s="108"/>
      <c r="CE108" s="108"/>
      <c r="CF108" s="109"/>
      <c r="EB108" s="29"/>
    </row>
    <row r="109" spans="39:132" x14ac:dyDescent="0.25">
      <c r="BL109" s="29"/>
      <c r="BY109" s="58"/>
      <c r="CB109" s="101"/>
      <c r="CC109" s="27"/>
      <c r="CD109" s="108"/>
      <c r="CE109" s="108"/>
      <c r="CF109" s="109"/>
      <c r="EB109" s="29"/>
    </row>
    <row r="110" spans="39:132" x14ac:dyDescent="0.25">
      <c r="BL110" s="29"/>
      <c r="BY110" s="58"/>
      <c r="CB110" s="101"/>
      <c r="CC110" s="27"/>
      <c r="CD110" s="108"/>
      <c r="CE110" s="108"/>
      <c r="CF110" s="109"/>
    </row>
    <row r="111" spans="39:132" x14ac:dyDescent="0.25">
      <c r="BL111" s="29"/>
      <c r="BY111" s="58"/>
      <c r="CB111" s="101"/>
      <c r="CC111" s="27"/>
      <c r="CD111" s="108"/>
      <c r="CE111" s="108"/>
      <c r="CF111" s="109"/>
    </row>
    <row r="112" spans="39:132" x14ac:dyDescent="0.25">
      <c r="BL112" s="29"/>
      <c r="BY112" s="58"/>
      <c r="CB112" s="101"/>
      <c r="CC112" s="27"/>
      <c r="CD112" s="108"/>
      <c r="CE112" s="108"/>
      <c r="CF112" s="109"/>
    </row>
    <row r="113" spans="64:121" x14ac:dyDescent="0.25">
      <c r="BL113" s="29"/>
      <c r="BY113" s="58"/>
      <c r="CB113" s="101"/>
      <c r="CC113" s="27"/>
      <c r="CD113" s="108"/>
      <c r="CE113" s="108"/>
      <c r="CF113" s="109"/>
    </row>
    <row r="114" spans="64:121" x14ac:dyDescent="0.25">
      <c r="BY114" s="58"/>
      <c r="CB114" s="101"/>
      <c r="CC114" s="27"/>
      <c r="CD114" s="108"/>
      <c r="CE114" s="108"/>
      <c r="CF114" s="109"/>
      <c r="DO114" s="17"/>
      <c r="DP114" s="392"/>
      <c r="DQ114" s="17"/>
    </row>
    <row r="115" spans="64:121" x14ac:dyDescent="0.25">
      <c r="BY115" s="58"/>
      <c r="CB115" s="101"/>
      <c r="CC115" s="27"/>
      <c r="CD115" s="108"/>
      <c r="CE115" s="108"/>
      <c r="CF115" s="109"/>
      <c r="DO115" s="17"/>
      <c r="DP115" s="392"/>
      <c r="DQ115" s="17"/>
    </row>
    <row r="116" spans="64:121" x14ac:dyDescent="0.25">
      <c r="BL116" s="29"/>
      <c r="BY116" s="58"/>
      <c r="CB116" s="101"/>
      <c r="CC116" s="27"/>
      <c r="CD116" s="108"/>
      <c r="CE116" s="108"/>
      <c r="CF116" s="109"/>
      <c r="DO116" s="17"/>
      <c r="DP116" s="392"/>
      <c r="DQ116" s="17"/>
    </row>
    <row r="117" spans="64:121" x14ac:dyDescent="0.25">
      <c r="BL117" s="29"/>
      <c r="BY117" s="58"/>
      <c r="DO117" s="17"/>
      <c r="DP117" s="392"/>
      <c r="DQ117" s="17"/>
    </row>
    <row r="118" spans="64:121" x14ac:dyDescent="0.25">
      <c r="BL118" s="29"/>
      <c r="BY118" s="58"/>
      <c r="DO118" s="17"/>
      <c r="DP118" s="392"/>
      <c r="DQ118" s="17"/>
    </row>
    <row r="119" spans="64:121" x14ac:dyDescent="0.25">
      <c r="DO119" s="17"/>
      <c r="DP119" s="392"/>
      <c r="DQ119" s="17"/>
    </row>
    <row r="120" spans="64:121" x14ac:dyDescent="0.25">
      <c r="DO120" s="17"/>
      <c r="DP120" s="392"/>
      <c r="DQ120" s="17"/>
    </row>
    <row r="121" spans="64:121" x14ac:dyDescent="0.25">
      <c r="DA121" s="255"/>
      <c r="DO121" s="17"/>
      <c r="DP121" s="392"/>
      <c r="DQ121" s="17"/>
    </row>
    <row r="122" spans="64:121" x14ac:dyDescent="0.25">
      <c r="DA122" s="255"/>
      <c r="DO122" s="17"/>
      <c r="DP122" s="392"/>
      <c r="DQ122" s="17"/>
    </row>
    <row r="123" spans="64:121" x14ac:dyDescent="0.25">
      <c r="DA123" s="255"/>
      <c r="DO123" s="17"/>
      <c r="DP123" s="392"/>
      <c r="DQ123" s="17"/>
    </row>
    <row r="124" spans="64:121" x14ac:dyDescent="0.25">
      <c r="DA124" s="255"/>
      <c r="DO124" s="17"/>
      <c r="DP124" s="392"/>
      <c r="DQ124" s="17"/>
    </row>
    <row r="125" spans="64:121" x14ac:dyDescent="0.25">
      <c r="DA125" s="255"/>
      <c r="DO125" s="17"/>
      <c r="DP125" s="392"/>
      <c r="DQ125" s="17"/>
    </row>
    <row r="126" spans="64:121" x14ac:dyDescent="0.25">
      <c r="BV126" s="54"/>
      <c r="BY126"/>
      <c r="DA126" s="255"/>
      <c r="DO126" s="17"/>
      <c r="DP126" s="392"/>
      <c r="DQ126" s="17"/>
    </row>
    <row r="127" spans="64:121" x14ac:dyDescent="0.25">
      <c r="BS127" s="20"/>
      <c r="BT127" s="20"/>
      <c r="BU127" s="20"/>
      <c r="BV127" s="20"/>
      <c r="BY127"/>
      <c r="DA127" s="255"/>
      <c r="DO127" s="17"/>
      <c r="DP127" s="392"/>
      <c r="DQ127" s="17"/>
    </row>
    <row r="128" spans="64:121" x14ac:dyDescent="0.25">
      <c r="BV128" s="30"/>
      <c r="BY128"/>
      <c r="DA128" s="255"/>
      <c r="DO128" s="17"/>
      <c r="DP128" s="392"/>
      <c r="DQ128" s="17"/>
    </row>
    <row r="129" spans="74:121" x14ac:dyDescent="0.25">
      <c r="BV129" s="30"/>
      <c r="BY129"/>
      <c r="DA129" s="255"/>
      <c r="DO129" s="17"/>
      <c r="DP129" s="392"/>
      <c r="DQ129" s="17"/>
    </row>
    <row r="130" spans="74:121" x14ac:dyDescent="0.25">
      <c r="BV130" s="30"/>
      <c r="BY130"/>
      <c r="DA130" s="255"/>
      <c r="DO130" s="17"/>
      <c r="DP130" s="392"/>
      <c r="DQ130" s="17"/>
    </row>
    <row r="131" spans="74:121" x14ac:dyDescent="0.25">
      <c r="BV131" s="30"/>
      <c r="BY131"/>
      <c r="DA131" s="255"/>
      <c r="DO131" s="17"/>
      <c r="DP131" s="392"/>
      <c r="DQ131" s="17"/>
    </row>
    <row r="132" spans="74:121" x14ac:dyDescent="0.25">
      <c r="BV132" s="30"/>
      <c r="BY132"/>
      <c r="DA132" s="255"/>
      <c r="DO132" s="17"/>
      <c r="DP132" s="392"/>
      <c r="DQ132" s="17"/>
    </row>
    <row r="133" spans="74:121" x14ac:dyDescent="0.25">
      <c r="BV133" s="30"/>
      <c r="BY133"/>
      <c r="DA133" s="255"/>
      <c r="DO133" s="17"/>
      <c r="DP133" s="392"/>
      <c r="DQ133" s="17"/>
    </row>
    <row r="134" spans="74:121" x14ac:dyDescent="0.25">
      <c r="BV134" s="30"/>
      <c r="BY134"/>
      <c r="DA134" s="255"/>
      <c r="DO134" s="17"/>
      <c r="DP134" s="392"/>
      <c r="DQ134" s="17"/>
    </row>
    <row r="135" spans="74:121" x14ac:dyDescent="0.25">
      <c r="BV135" s="30"/>
      <c r="BY135"/>
      <c r="DA135" s="255"/>
      <c r="DO135" s="17"/>
      <c r="DP135" s="392"/>
      <c r="DQ135" s="17"/>
    </row>
    <row r="136" spans="74:121" x14ac:dyDescent="0.25">
      <c r="BV136" s="30"/>
      <c r="BY136"/>
      <c r="DA136" s="255"/>
      <c r="DO136" s="17"/>
      <c r="DP136" s="392"/>
      <c r="DQ136" s="17"/>
    </row>
    <row r="137" spans="74:121" x14ac:dyDescent="0.25">
      <c r="BV137" s="30"/>
      <c r="BY137"/>
      <c r="DA137" s="255"/>
      <c r="DO137" s="17"/>
      <c r="DP137" s="392"/>
      <c r="DQ137" s="17"/>
    </row>
    <row r="138" spans="74:121" x14ac:dyDescent="0.25">
      <c r="BV138" s="30"/>
      <c r="BY138"/>
    </row>
    <row r="139" spans="74:121" x14ac:dyDescent="0.25">
      <c r="BV139" s="30"/>
      <c r="BY139"/>
    </row>
    <row r="140" spans="74:121" x14ac:dyDescent="0.25">
      <c r="BW140"/>
      <c r="BX140"/>
      <c r="BY140"/>
    </row>
    <row r="141" spans="74:121" x14ac:dyDescent="0.25">
      <c r="BW141"/>
      <c r="BX141"/>
      <c r="BY141"/>
    </row>
    <row r="142" spans="74:121" x14ac:dyDescent="0.25">
      <c r="BW142"/>
      <c r="BX142"/>
      <c r="BY142"/>
    </row>
    <row r="143" spans="74:121" x14ac:dyDescent="0.25">
      <c r="BW143"/>
      <c r="BX143"/>
      <c r="BY143"/>
    </row>
    <row r="144" spans="74:121" x14ac:dyDescent="0.25">
      <c r="BW144"/>
      <c r="BX144"/>
      <c r="BY144"/>
    </row>
    <row r="145" spans="54:142" x14ac:dyDescent="0.25">
      <c r="BW145"/>
      <c r="BX145"/>
      <c r="BY145"/>
    </row>
    <row r="146" spans="54:142" s="255" customFormat="1" x14ac:dyDescent="0.25">
      <c r="BB146" s="377"/>
      <c r="BV146"/>
      <c r="BW146"/>
      <c r="BX146"/>
      <c r="CL146"/>
      <c r="CM146"/>
      <c r="CN146"/>
      <c r="CO146"/>
      <c r="CP146"/>
      <c r="CQ146"/>
      <c r="CR146"/>
      <c r="CS146"/>
      <c r="CT146"/>
      <c r="CU146"/>
      <c r="CV146"/>
      <c r="CW146"/>
      <c r="CX146"/>
      <c r="CY146"/>
      <c r="CZ146"/>
      <c r="DA146"/>
      <c r="DB146"/>
      <c r="DC146"/>
      <c r="DD146"/>
      <c r="DE146"/>
      <c r="DF146"/>
      <c r="DG146"/>
      <c r="DH146"/>
      <c r="DI146"/>
      <c r="DJ146"/>
      <c r="DK146"/>
      <c r="DL146"/>
      <c r="DM146"/>
      <c r="DN146"/>
      <c r="DO146" s="18"/>
      <c r="DP146" s="57"/>
      <c r="DQ146" s="18"/>
      <c r="DR146"/>
      <c r="DS146"/>
      <c r="DT146"/>
      <c r="DU146"/>
      <c r="DV146"/>
      <c r="DW146"/>
      <c r="DX146"/>
      <c r="DY146"/>
      <c r="DZ146"/>
      <c r="EA146"/>
      <c r="EB146"/>
      <c r="EC146"/>
      <c r="ED146"/>
      <c r="EE146"/>
      <c r="EF146"/>
      <c r="EG146"/>
      <c r="EH146"/>
      <c r="EI146"/>
      <c r="EJ146"/>
      <c r="EK146"/>
      <c r="EL146"/>
    </row>
    <row r="147" spans="54:142" s="255" customFormat="1" x14ac:dyDescent="0.25">
      <c r="BB147" s="377"/>
      <c r="BO147"/>
      <c r="BP147"/>
      <c r="BQ147"/>
      <c r="BR147"/>
      <c r="BS147"/>
      <c r="BT147"/>
      <c r="BU147"/>
      <c r="BV147"/>
      <c r="BY147" s="58"/>
      <c r="BZ147"/>
      <c r="CA147"/>
      <c r="CB147" s="30"/>
      <c r="CC147" s="29"/>
      <c r="CD147"/>
      <c r="CE147"/>
      <c r="CL147"/>
      <c r="CM147"/>
      <c r="CN147"/>
      <c r="CO147"/>
      <c r="CP147"/>
      <c r="CQ147"/>
      <c r="CR147"/>
      <c r="CS147"/>
      <c r="CT147"/>
      <c r="CU147"/>
      <c r="CV147"/>
      <c r="CW147"/>
      <c r="CX147"/>
      <c r="CY147"/>
      <c r="CZ147"/>
      <c r="DA147"/>
      <c r="DB147"/>
      <c r="DC147"/>
      <c r="DD147"/>
      <c r="DE147"/>
      <c r="DF147"/>
      <c r="DG147"/>
      <c r="DH147"/>
      <c r="DI147"/>
      <c r="DJ147"/>
      <c r="DK147"/>
      <c r="DL147"/>
      <c r="DM147"/>
      <c r="DN147"/>
      <c r="DO147" s="18"/>
      <c r="DP147" s="57"/>
      <c r="DQ147" s="18"/>
      <c r="DR147"/>
      <c r="DS147"/>
      <c r="DT147"/>
      <c r="DU147"/>
      <c r="DV147"/>
      <c r="DW147"/>
      <c r="DX147"/>
      <c r="DY147"/>
      <c r="DZ147"/>
      <c r="EA147"/>
      <c r="EB147"/>
      <c r="EC147"/>
      <c r="ED147"/>
      <c r="EE147"/>
      <c r="EF147"/>
      <c r="EG147"/>
      <c r="EH147"/>
      <c r="EI147"/>
      <c r="EJ147"/>
      <c r="EK147"/>
      <c r="EL147"/>
    </row>
    <row r="148" spans="54:142" s="255" customFormat="1" x14ac:dyDescent="0.25">
      <c r="BB148" s="377"/>
      <c r="BO148"/>
      <c r="BP148"/>
      <c r="BQ148"/>
      <c r="BR148"/>
      <c r="BS148"/>
      <c r="BT148"/>
      <c r="BU148"/>
      <c r="BV148"/>
      <c r="BY148" s="58"/>
      <c r="BZ148"/>
      <c r="CA148"/>
      <c r="CB148" s="30"/>
      <c r="CC148" s="29"/>
      <c r="CD148"/>
      <c r="CE148"/>
      <c r="CL148"/>
      <c r="CM148"/>
      <c r="CN148"/>
      <c r="CO148"/>
      <c r="CP148"/>
      <c r="CQ148"/>
      <c r="CR148"/>
      <c r="CS148"/>
      <c r="CT148"/>
      <c r="CU148"/>
      <c r="CV148"/>
      <c r="CW148"/>
      <c r="CX148"/>
      <c r="CY148"/>
      <c r="CZ148"/>
      <c r="DA148"/>
      <c r="DB148"/>
      <c r="DC148"/>
      <c r="DD148"/>
      <c r="DE148"/>
      <c r="DF148"/>
      <c r="DG148"/>
      <c r="DH148"/>
      <c r="DI148"/>
      <c r="DJ148"/>
      <c r="DK148"/>
      <c r="DL148"/>
      <c r="DM148"/>
      <c r="DN148"/>
      <c r="DO148" s="18"/>
      <c r="DP148" s="57"/>
      <c r="DQ148" s="18"/>
      <c r="DR148"/>
      <c r="DS148"/>
      <c r="DT148"/>
      <c r="DU148"/>
      <c r="DV148"/>
      <c r="DW148"/>
      <c r="DX148"/>
      <c r="DY148"/>
      <c r="DZ148"/>
      <c r="EA148"/>
      <c r="EB148"/>
      <c r="EC148"/>
      <c r="ED148"/>
      <c r="EE148"/>
      <c r="EF148"/>
      <c r="EG148"/>
      <c r="EH148"/>
      <c r="EI148"/>
      <c r="EJ148"/>
      <c r="EK148"/>
      <c r="EL148"/>
    </row>
    <row r="149" spans="54:142" s="255" customFormat="1" x14ac:dyDescent="0.25">
      <c r="BB149" s="377"/>
      <c r="BO149"/>
      <c r="BP149"/>
      <c r="BQ149"/>
      <c r="BR149"/>
      <c r="BS149"/>
      <c r="BT149"/>
      <c r="BU149"/>
      <c r="BV149"/>
      <c r="BY149" s="58"/>
      <c r="BZ149"/>
      <c r="CA149"/>
      <c r="CB149" s="30"/>
      <c r="CC149" s="29"/>
      <c r="CD149"/>
      <c r="CE149"/>
      <c r="CL149"/>
      <c r="CM149"/>
      <c r="CN149"/>
      <c r="CO149"/>
      <c r="CP149"/>
      <c r="CQ149"/>
      <c r="CR149"/>
      <c r="CS149"/>
      <c r="CT149"/>
      <c r="CU149"/>
      <c r="CV149"/>
      <c r="CW149"/>
      <c r="CX149"/>
      <c r="CY149"/>
      <c r="CZ149"/>
      <c r="DA149"/>
      <c r="DB149"/>
      <c r="DC149"/>
      <c r="DD149"/>
      <c r="DE149"/>
      <c r="DF149"/>
      <c r="DG149"/>
      <c r="DH149"/>
      <c r="DI149"/>
      <c r="DJ149"/>
      <c r="DK149"/>
      <c r="DL149"/>
      <c r="DM149"/>
      <c r="DN149"/>
      <c r="DO149" s="18"/>
      <c r="DP149" s="57"/>
      <c r="DQ149" s="18"/>
      <c r="DR149"/>
      <c r="DS149"/>
      <c r="DT149"/>
      <c r="DU149"/>
      <c r="DV149"/>
      <c r="DW149"/>
      <c r="DX149"/>
      <c r="DY149"/>
      <c r="DZ149"/>
      <c r="EA149"/>
      <c r="EB149"/>
      <c r="EC149"/>
      <c r="ED149"/>
      <c r="EE149"/>
      <c r="EF149"/>
      <c r="EG149"/>
      <c r="EH149"/>
      <c r="EI149"/>
      <c r="EJ149"/>
      <c r="EK149"/>
      <c r="EL149"/>
    </row>
    <row r="150" spans="54:142" s="255" customFormat="1" x14ac:dyDescent="0.25">
      <c r="BB150" s="377"/>
      <c r="BO150"/>
      <c r="BP150"/>
      <c r="BQ150"/>
      <c r="BR150"/>
      <c r="BS150"/>
      <c r="BT150"/>
      <c r="BU150"/>
      <c r="BV150"/>
      <c r="BY150" s="58"/>
      <c r="BZ150"/>
      <c r="CA150"/>
      <c r="CB150" s="30"/>
      <c r="CC150" s="29"/>
      <c r="CD150"/>
      <c r="CE150"/>
      <c r="CL150"/>
      <c r="CM150"/>
      <c r="CN150"/>
      <c r="CO150"/>
      <c r="CP150"/>
      <c r="CQ150"/>
      <c r="CR150"/>
      <c r="CS150"/>
      <c r="CT150"/>
      <c r="CU150"/>
      <c r="CV150"/>
      <c r="CW150"/>
      <c r="CX150"/>
      <c r="CY150"/>
      <c r="CZ150"/>
      <c r="DA150"/>
      <c r="DB150"/>
      <c r="DC150"/>
      <c r="DD150"/>
      <c r="DE150"/>
      <c r="DF150"/>
      <c r="DG150"/>
      <c r="DH150"/>
      <c r="DI150"/>
      <c r="DJ150"/>
      <c r="DK150"/>
      <c r="DL150"/>
      <c r="DM150"/>
      <c r="DN150"/>
      <c r="DO150" s="18"/>
      <c r="DP150" s="57"/>
      <c r="DQ150" s="18"/>
      <c r="DR150"/>
      <c r="DS150"/>
      <c r="DT150"/>
      <c r="DU150"/>
      <c r="DV150"/>
      <c r="DW150"/>
      <c r="DX150"/>
      <c r="DY150"/>
      <c r="DZ150"/>
      <c r="EA150"/>
      <c r="EB150"/>
      <c r="EC150"/>
      <c r="ED150"/>
      <c r="EE150"/>
      <c r="EF150"/>
      <c r="EG150"/>
      <c r="EH150"/>
      <c r="EI150"/>
      <c r="EJ150"/>
      <c r="EK150"/>
      <c r="EL150"/>
    </row>
    <row r="151" spans="54:142" s="255" customFormat="1" x14ac:dyDescent="0.25">
      <c r="BB151" s="377"/>
      <c r="BO151"/>
      <c r="BP151"/>
      <c r="BQ151"/>
      <c r="BR151"/>
      <c r="BS151"/>
      <c r="BT151"/>
      <c r="BU151"/>
      <c r="BV151"/>
      <c r="BY151" s="58"/>
      <c r="BZ151"/>
      <c r="CA151"/>
      <c r="CB151" s="30"/>
      <c r="CC151" s="29"/>
      <c r="CD151"/>
      <c r="CE151"/>
      <c r="CL151"/>
      <c r="CM151"/>
      <c r="CN151"/>
      <c r="CO151"/>
      <c r="CP151"/>
      <c r="CQ151"/>
      <c r="CR151"/>
      <c r="CS151"/>
      <c r="CT151"/>
      <c r="CU151"/>
      <c r="CV151"/>
      <c r="CW151"/>
      <c r="CX151"/>
      <c r="CY151"/>
      <c r="CZ151"/>
      <c r="DA151"/>
      <c r="DB151"/>
      <c r="DC151"/>
      <c r="DD151"/>
      <c r="DE151"/>
      <c r="DF151"/>
      <c r="DG151"/>
      <c r="DH151"/>
      <c r="DI151"/>
      <c r="DJ151"/>
      <c r="DK151"/>
      <c r="DL151"/>
      <c r="DM151"/>
      <c r="DN151"/>
      <c r="DO151" s="18"/>
      <c r="DP151" s="57"/>
      <c r="DQ151" s="18"/>
      <c r="DR151"/>
      <c r="DS151"/>
      <c r="DT151"/>
      <c r="DU151"/>
      <c r="DV151"/>
      <c r="DW151"/>
      <c r="DX151"/>
      <c r="DY151"/>
      <c r="DZ151"/>
      <c r="EA151"/>
      <c r="EB151"/>
      <c r="EC151"/>
      <c r="ED151"/>
      <c r="EE151"/>
      <c r="EF151"/>
      <c r="EG151"/>
      <c r="EH151"/>
      <c r="EI151"/>
      <c r="EJ151"/>
      <c r="EK151"/>
      <c r="EL151"/>
    </row>
    <row r="152" spans="54:142" s="255" customFormat="1" x14ac:dyDescent="0.25">
      <c r="BB152" s="377"/>
      <c r="BO152"/>
      <c r="BP152"/>
      <c r="BQ152"/>
      <c r="BR152"/>
      <c r="BS152"/>
      <c r="BT152"/>
      <c r="BU152"/>
      <c r="BV152"/>
      <c r="BY152"/>
      <c r="BZ152"/>
      <c r="CA152"/>
      <c r="CB152"/>
      <c r="CC152"/>
      <c r="CD152"/>
      <c r="CE152"/>
      <c r="CL152"/>
      <c r="CM152"/>
      <c r="CN152"/>
      <c r="CO152"/>
      <c r="CP152"/>
      <c r="CQ152"/>
      <c r="CR152"/>
      <c r="CS152"/>
      <c r="CT152"/>
      <c r="CU152"/>
      <c r="CV152"/>
      <c r="CW152"/>
      <c r="CX152"/>
      <c r="CY152"/>
      <c r="CZ152"/>
      <c r="DA152"/>
      <c r="DB152"/>
      <c r="DC152"/>
      <c r="DD152"/>
      <c r="DE152"/>
      <c r="DF152"/>
      <c r="DG152"/>
      <c r="DH152"/>
      <c r="DI152"/>
      <c r="DJ152"/>
      <c r="DK152"/>
      <c r="DL152"/>
      <c r="DM152"/>
      <c r="DN152"/>
      <c r="DO152" s="18"/>
      <c r="DP152" s="57"/>
      <c r="DQ152" s="18"/>
      <c r="DR152"/>
      <c r="DS152"/>
      <c r="DT152"/>
      <c r="DU152"/>
      <c r="DV152"/>
      <c r="DW152"/>
      <c r="DX152"/>
      <c r="DY152"/>
      <c r="DZ152"/>
      <c r="EA152"/>
      <c r="EB152"/>
      <c r="EC152"/>
      <c r="ED152"/>
      <c r="EE152"/>
      <c r="EF152"/>
      <c r="EG152"/>
      <c r="EH152"/>
      <c r="EI152"/>
      <c r="EJ152"/>
      <c r="EK152"/>
      <c r="EL152"/>
    </row>
    <row r="153" spans="54:142" x14ac:dyDescent="0.25">
      <c r="BY153"/>
      <c r="BZ153"/>
      <c r="CA153"/>
      <c r="CB153"/>
      <c r="CC153"/>
      <c r="CD153"/>
      <c r="CE153"/>
    </row>
    <row r="154" spans="54:142" x14ac:dyDescent="0.25">
      <c r="BZ154"/>
      <c r="CA154"/>
      <c r="CB154" s="30"/>
      <c r="CC154" s="29"/>
      <c r="CD154"/>
      <c r="CE154"/>
    </row>
  </sheetData>
  <sheetProtection password="CF27" sheet="1" objects="1" scenarios="1" selectLockedCells="1"/>
  <customSheetViews>
    <customSheetView guid="{C5ECCA7E-81F6-46F5-BEA0-A5F2DAD22AC9}" scale="90" topLeftCell="A9">
      <selection activeCell="AU38" sqref="AU38"/>
      <colBreaks count="1" manualBreakCount="1">
        <brk id="66" max="1048575" man="1"/>
      </colBreaks>
      <pageMargins left="0.7" right="0.7" top="0.75" bottom="0" header="0.3" footer="0.3"/>
      <pageSetup scale="34" orientation="portrait" r:id="rId1"/>
    </customSheetView>
    <customSheetView guid="{40D14490-07BB-46F3-8435-9C462BE853EE}" scale="90">
      <selection activeCell="D21" sqref="D21:AA21"/>
      <colBreaks count="1" manualBreakCount="1">
        <brk id="66" max="1048575" man="1"/>
      </colBreaks>
      <pageMargins left="0.7" right="0.7" top="0.75" bottom="0" header="0.3" footer="0.3"/>
      <pageSetup scale="34" orientation="portrait" r:id="rId2"/>
    </customSheetView>
  </customSheetViews>
  <mergeCells count="78">
    <mergeCell ref="C51:J51"/>
    <mergeCell ref="AE1:AX1"/>
    <mergeCell ref="B39:M40"/>
    <mergeCell ref="B37:M38"/>
    <mergeCell ref="B31:M32"/>
    <mergeCell ref="AG24:AV24"/>
    <mergeCell ref="AW24:AX24"/>
    <mergeCell ref="AG25:AV25"/>
    <mergeCell ref="AW25:AX25"/>
    <mergeCell ref="AE2:AI2"/>
    <mergeCell ref="AB20:AC20"/>
    <mergeCell ref="B20:C20"/>
    <mergeCell ref="D21:AA21"/>
    <mergeCell ref="B36:M36"/>
    <mergeCell ref="AB21:AC24"/>
    <mergeCell ref="C50:H50"/>
    <mergeCell ref="BX58:BX68"/>
    <mergeCell ref="BN62:BN64"/>
    <mergeCell ref="BA69:BA78"/>
    <mergeCell ref="BW74:CB78"/>
    <mergeCell ref="BG23:BG24"/>
    <mergeCell ref="BH23:BL24"/>
    <mergeCell ref="BG25:BG26"/>
    <mergeCell ref="BH25:BL26"/>
    <mergeCell ref="BA86:BA91"/>
    <mergeCell ref="AG55:AH55"/>
    <mergeCell ref="BN29:BN30"/>
    <mergeCell ref="BG31:BM31"/>
    <mergeCell ref="BN31:BN32"/>
    <mergeCell ref="AG35:AY35"/>
    <mergeCell ref="AG38:AH38"/>
    <mergeCell ref="AZ40:AZ41"/>
    <mergeCell ref="BA40:BF42"/>
    <mergeCell ref="AW41:AX41"/>
    <mergeCell ref="AT42:AT43"/>
    <mergeCell ref="AU42:AY43"/>
    <mergeCell ref="EO3:EP3"/>
    <mergeCell ref="BH4:BJ4"/>
    <mergeCell ref="BN4:BN27"/>
    <mergeCell ref="BG5:BG6"/>
    <mergeCell ref="BH5:BL6"/>
    <mergeCell ref="BG7:BG8"/>
    <mergeCell ref="BH7:BL8"/>
    <mergeCell ref="BG9:BG10"/>
    <mergeCell ref="BH9:BL10"/>
    <mergeCell ref="BG21:BG22"/>
    <mergeCell ref="BH21:BL22"/>
    <mergeCell ref="BG11:BG12"/>
    <mergeCell ref="BH11:BL12"/>
    <mergeCell ref="BG13:BG14"/>
    <mergeCell ref="BH13:BL14"/>
    <mergeCell ref="BG15:BG16"/>
    <mergeCell ref="DU1:DW2"/>
    <mergeCell ref="EB1:EG1"/>
    <mergeCell ref="EI1:EK1"/>
    <mergeCell ref="DX2:DY2"/>
    <mergeCell ref="EB2:ED2"/>
    <mergeCell ref="BO1:BS1"/>
    <mergeCell ref="BT1:CC1"/>
    <mergeCell ref="DB1:DC1"/>
    <mergeCell ref="BG3:BL3"/>
    <mergeCell ref="BM3:BN3"/>
    <mergeCell ref="BH15:BL16"/>
    <mergeCell ref="BG17:BG18"/>
    <mergeCell ref="BH17:BL18"/>
    <mergeCell ref="BG19:BG20"/>
    <mergeCell ref="BH19:BL20"/>
    <mergeCell ref="B30:M30"/>
    <mergeCell ref="B34:M34"/>
    <mergeCell ref="B33:M33"/>
    <mergeCell ref="C49:H49"/>
    <mergeCell ref="B41:M41"/>
    <mergeCell ref="B43:M43"/>
    <mergeCell ref="B42:M42"/>
    <mergeCell ref="B45:H45"/>
    <mergeCell ref="C46:H46"/>
    <mergeCell ref="C47:H47"/>
    <mergeCell ref="C48:H48"/>
  </mergeCells>
  <pageMargins left="0.7" right="0.7" top="0.75" bottom="0" header="0.3" footer="0.3"/>
  <pageSetup scale="34" orientation="portrait" r:id="rId3"/>
  <colBreaks count="1" manualBreakCount="1">
    <brk id="66" max="1048575" man="1"/>
  </col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0:J66"/>
  <sheetViews>
    <sheetView workbookViewId="0">
      <selection activeCell="H83" sqref="H83"/>
    </sheetView>
  </sheetViews>
  <sheetFormatPr defaultRowHeight="12.5" x14ac:dyDescent="0.25"/>
  <sheetData>
    <row r="30" spans="2:6" x14ac:dyDescent="0.25">
      <c r="B30" t="s">
        <v>339</v>
      </c>
    </row>
    <row r="31" spans="2:6" x14ac:dyDescent="0.25">
      <c r="B31" s="601" t="s">
        <v>340</v>
      </c>
      <c r="C31" s="601"/>
      <c r="D31" s="601"/>
      <c r="E31" s="601"/>
      <c r="F31" s="601"/>
    </row>
    <row r="32" spans="2:6" x14ac:dyDescent="0.25">
      <c r="B32" s="601"/>
      <c r="C32" s="601"/>
      <c r="D32" s="601"/>
      <c r="E32" s="601"/>
      <c r="F32" s="601"/>
    </row>
    <row r="33" spans="2:6" x14ac:dyDescent="0.25">
      <c r="B33" s="601"/>
      <c r="C33" s="601"/>
      <c r="D33" s="601"/>
      <c r="E33" s="601"/>
      <c r="F33" s="601"/>
    </row>
    <row r="34" spans="2:6" x14ac:dyDescent="0.25">
      <c r="B34" s="601"/>
      <c r="C34" s="601"/>
      <c r="D34" s="601"/>
      <c r="E34" s="601"/>
      <c r="F34" s="601"/>
    </row>
    <row r="35" spans="2:6" x14ac:dyDescent="0.25">
      <c r="B35" s="601"/>
      <c r="C35" s="601"/>
      <c r="D35" s="601"/>
      <c r="E35" s="601"/>
      <c r="F35" s="601"/>
    </row>
    <row r="50" spans="2:2" ht="13" x14ac:dyDescent="0.3">
      <c r="B50" s="6"/>
    </row>
    <row r="66" spans="10:10" x14ac:dyDescent="0.25">
      <c r="J66" t="s">
        <v>341</v>
      </c>
    </row>
  </sheetData>
  <sheetProtection password="CF27" sheet="1" objects="1" scenarios="1"/>
  <customSheetViews>
    <customSheetView guid="{C5ECCA7E-81F6-46F5-BEA0-A5F2DAD22AC9}">
      <selection activeCell="H83" sqref="H83"/>
      <pageMargins left="0.7" right="0.7" top="0.75" bottom="0.75" header="0.3" footer="0.3"/>
      <pageSetup orientation="portrait" horizontalDpi="0" verticalDpi="0" r:id="rId1"/>
    </customSheetView>
    <customSheetView guid="{40D14490-07BB-46F3-8435-9C462BE853EE}">
      <selection activeCell="H83" sqref="H83"/>
      <pageMargins left="0.7" right="0.7" top="0.75" bottom="0.75" header="0.3" footer="0.3"/>
      <pageSetup orientation="portrait" horizontalDpi="0" verticalDpi="0" r:id="rId2"/>
    </customSheetView>
  </customSheetViews>
  <mergeCells count="1">
    <mergeCell ref="B31:F35"/>
  </mergeCells>
  <pageMargins left="0.7" right="0.7" top="0.75" bottom="0.75" header="0.3" footer="0.3"/>
  <pageSetup orientation="portrait" horizontalDpi="0" verticalDpi="0"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FT154"/>
  <sheetViews>
    <sheetView topLeftCell="C1" zoomScale="90" zoomScaleNormal="90" workbookViewId="0">
      <selection activeCell="AD22" sqref="AD22"/>
    </sheetView>
  </sheetViews>
  <sheetFormatPr defaultRowHeight="18" x14ac:dyDescent="0.4"/>
  <cols>
    <col min="1" max="1" width="2.6328125" customWidth="1"/>
    <col min="2" max="2" width="15.6328125" bestFit="1" customWidth="1"/>
    <col min="3" max="29" width="5.1796875" customWidth="1"/>
    <col min="30" max="30" width="10.90625" bestFit="1" customWidth="1"/>
    <col min="31" max="31" width="6.81640625" customWidth="1"/>
    <col min="32" max="32" width="5.81640625" customWidth="1"/>
    <col min="33" max="33" width="7.81640625" customWidth="1"/>
    <col min="34" max="35" width="5.54296875" customWidth="1"/>
    <col min="36" max="37" width="4.54296875" customWidth="1"/>
    <col min="38" max="38" width="5.453125" customWidth="1"/>
    <col min="39" max="39" width="4.54296875" customWidth="1"/>
    <col min="40" max="41" width="5.54296875" customWidth="1"/>
    <col min="42" max="50" width="4.54296875" customWidth="1"/>
    <col min="51" max="51" width="9.1796875" style="471" customWidth="1"/>
    <col min="52" max="52" width="11.6328125" style="463" customWidth="1"/>
    <col min="53" max="53" width="7.81640625" customWidth="1"/>
    <col min="54" max="54" width="8.54296875" customWidth="1"/>
    <col min="55" max="55" width="8.54296875" style="458" customWidth="1"/>
    <col min="56" max="56" width="8.54296875" customWidth="1"/>
    <col min="57" max="57" width="8.81640625" customWidth="1"/>
    <col min="58" max="58" width="12.54296875" customWidth="1"/>
    <col min="59" max="63" width="12.81640625" customWidth="1"/>
    <col min="64" max="65" width="10.54296875" customWidth="1"/>
    <col min="67" max="67" width="10.81640625" customWidth="1"/>
    <col min="69" max="69" width="8.54296875" customWidth="1"/>
    <col min="70" max="70" width="10.81640625" customWidth="1"/>
    <col min="72" max="72" width="10.81640625" customWidth="1"/>
    <col min="75" max="75" width="10.81640625" customWidth="1"/>
    <col min="76" max="76" width="8.81640625" style="255" customWidth="1"/>
    <col min="77" max="84" width="10.81640625" style="255" customWidth="1"/>
    <col min="85" max="85" width="11.81640625" style="255" customWidth="1"/>
    <col min="86" max="90" width="10.81640625" style="255" customWidth="1"/>
    <col min="91" max="101" width="10.81640625" customWidth="1"/>
    <col min="102" max="102" width="10.54296875" customWidth="1"/>
    <col min="103" max="103" width="9.81640625" customWidth="1"/>
    <col min="106" max="106" width="15" customWidth="1"/>
    <col min="107" max="107" width="11.54296875" bestFit="1" customWidth="1"/>
    <col min="108" max="109" width="10.81640625" customWidth="1"/>
    <col min="110" max="116" width="12.81640625" customWidth="1"/>
    <col min="117" max="117" width="15" customWidth="1"/>
    <col min="118" max="118" width="11.453125" customWidth="1"/>
    <col min="119" max="119" width="9.81640625" customWidth="1"/>
    <col min="120" max="120" width="12.81640625" style="18" customWidth="1"/>
    <col min="121" max="121" width="12.81640625" style="57" customWidth="1"/>
    <col min="122" max="122" width="12.81640625" style="18" customWidth="1"/>
    <col min="123" max="123" width="15" customWidth="1"/>
    <col min="124" max="124" width="11.81640625" customWidth="1"/>
    <col min="125" max="127" width="10.81640625" customWidth="1"/>
    <col min="128" max="129" width="9.81640625" customWidth="1"/>
    <col min="130" max="131" width="10.81640625" customWidth="1"/>
    <col min="132" max="133" width="9.81640625" customWidth="1"/>
    <col min="134" max="134" width="10.81640625" customWidth="1"/>
    <col min="135" max="137" width="9.81640625" customWidth="1"/>
    <col min="138" max="138" width="12.81640625" customWidth="1"/>
    <col min="139" max="140" width="9.81640625" customWidth="1"/>
    <col min="141" max="143" width="10.81640625" customWidth="1"/>
  </cols>
  <sheetData>
    <row r="1" spans="1:176" x14ac:dyDescent="0.4">
      <c r="AE1" s="562" t="s">
        <v>354</v>
      </c>
      <c r="AF1" s="562"/>
      <c r="AG1" s="562"/>
      <c r="AH1" s="562"/>
      <c r="AI1" s="562"/>
      <c r="AJ1" s="562"/>
      <c r="AK1" s="562"/>
      <c r="AL1" s="562"/>
      <c r="AM1" s="562"/>
      <c r="AN1" s="562"/>
      <c r="AO1" s="562"/>
      <c r="AP1" s="562"/>
      <c r="AQ1" s="562"/>
      <c r="AR1" s="562"/>
      <c r="AS1" s="562"/>
      <c r="AT1" s="562"/>
      <c r="AU1" s="562"/>
      <c r="AV1" s="562"/>
      <c r="AW1" s="562"/>
      <c r="AX1" s="562"/>
      <c r="BP1" s="500" t="s">
        <v>108</v>
      </c>
      <c r="BQ1" s="500"/>
      <c r="BR1" s="500"/>
      <c r="BS1" s="500"/>
      <c r="BT1" s="500"/>
      <c r="BU1" s="501" t="s">
        <v>109</v>
      </c>
      <c r="BV1" s="501"/>
      <c r="BW1" s="501"/>
      <c r="BX1" s="501"/>
      <c r="BY1" s="501"/>
      <c r="BZ1" s="501"/>
      <c r="CA1" s="501"/>
      <c r="CB1" s="501"/>
      <c r="CC1" s="501"/>
      <c r="CD1" s="501"/>
      <c r="CE1"/>
      <c r="CF1"/>
      <c r="CG1" s="113"/>
      <c r="CH1" s="118" t="s">
        <v>110</v>
      </c>
      <c r="CI1" s="94"/>
      <c r="CJ1" s="115"/>
      <c r="CK1" s="115"/>
      <c r="CL1" s="115"/>
      <c r="CM1" s="113"/>
      <c r="CN1" s="117"/>
      <c r="CO1" s="113"/>
      <c r="CP1" s="94"/>
      <c r="CQ1" s="52"/>
      <c r="CR1" s="119" t="s">
        <v>111</v>
      </c>
      <c r="CS1" s="93"/>
      <c r="CT1" s="93"/>
      <c r="CU1" s="93"/>
      <c r="CV1" s="93"/>
      <c r="CW1" s="93"/>
      <c r="CX1" s="93"/>
      <c r="CY1" s="116"/>
      <c r="CZ1" s="93"/>
      <c r="DA1" s="93"/>
      <c r="DB1" s="138" t="s">
        <v>214</v>
      </c>
      <c r="DC1" s="502" t="s">
        <v>221</v>
      </c>
      <c r="DD1" s="502"/>
      <c r="DE1" s="479" t="s">
        <v>150</v>
      </c>
      <c r="DF1" s="139" t="s">
        <v>149</v>
      </c>
      <c r="DG1" s="57"/>
      <c r="DH1" s="57"/>
      <c r="DK1" s="454" t="s">
        <v>151</v>
      </c>
      <c r="DL1" s="454" t="s">
        <v>151</v>
      </c>
      <c r="DM1" s="246" t="s">
        <v>150</v>
      </c>
      <c r="DN1" s="454" t="s">
        <v>151</v>
      </c>
      <c r="DO1" s="44"/>
      <c r="DP1" s="57"/>
      <c r="DR1" s="454" t="s">
        <v>151</v>
      </c>
      <c r="DS1" s="139" t="s">
        <v>149</v>
      </c>
      <c r="DT1" s="139"/>
      <c r="DV1" s="505" t="s">
        <v>287</v>
      </c>
      <c r="DW1" s="505"/>
      <c r="DX1" s="505"/>
      <c r="EC1" s="506" t="s">
        <v>216</v>
      </c>
      <c r="ED1" s="506"/>
      <c r="EE1" s="506"/>
      <c r="EF1" s="506"/>
      <c r="EG1" s="506"/>
      <c r="EH1" s="506"/>
      <c r="EJ1" s="507" t="s">
        <v>179</v>
      </c>
      <c r="EK1" s="507"/>
      <c r="EL1" s="507"/>
    </row>
    <row r="2" spans="1:176" s="150" customFormat="1" ht="12.75" customHeight="1" x14ac:dyDescent="0.4">
      <c r="J2" s="150">
        <v>100</v>
      </c>
      <c r="K2" s="150">
        <v>50</v>
      </c>
      <c r="Q2" s="150">
        <v>85</v>
      </c>
      <c r="R2" s="150" t="s">
        <v>360</v>
      </c>
      <c r="AE2" s="570"/>
      <c r="AF2" s="570"/>
      <c r="AG2" s="570"/>
      <c r="AH2" s="570"/>
      <c r="AI2" s="570"/>
      <c r="AJ2" s="273"/>
      <c r="AK2" s="273"/>
      <c r="AL2" s="273"/>
      <c r="AM2" s="273"/>
      <c r="AN2" s="273"/>
      <c r="AO2" s="273"/>
      <c r="AP2" s="273"/>
      <c r="AQ2" s="273"/>
      <c r="AR2" s="273"/>
      <c r="AS2" s="273"/>
      <c r="AT2" s="273"/>
      <c r="AU2" s="273"/>
      <c r="AV2" s="273"/>
      <c r="AW2" s="273"/>
      <c r="AX2" s="273"/>
      <c r="AY2" s="472"/>
      <c r="BC2" s="456"/>
      <c r="BF2" s="456" t="s">
        <v>208</v>
      </c>
      <c r="BN2" s="269"/>
      <c r="BP2" s="270" t="s">
        <v>228</v>
      </c>
      <c r="BQ2" s="172"/>
      <c r="BR2" s="274" t="s">
        <v>208</v>
      </c>
      <c r="BS2" s="172"/>
      <c r="BT2" s="456" t="s">
        <v>208</v>
      </c>
      <c r="BU2" s="456"/>
      <c r="BV2" s="456"/>
      <c r="BW2" s="456" t="s">
        <v>208</v>
      </c>
      <c r="BX2" s="456"/>
      <c r="BY2" s="456" t="s">
        <v>208</v>
      </c>
      <c r="BZ2" s="456" t="s">
        <v>208</v>
      </c>
      <c r="CA2" s="274"/>
      <c r="CB2" s="456"/>
      <c r="CC2" s="456"/>
      <c r="CD2" s="456" t="s">
        <v>208</v>
      </c>
      <c r="CE2" s="172"/>
      <c r="CF2" s="274" t="s">
        <v>208</v>
      </c>
      <c r="CG2" s="456"/>
      <c r="CH2" s="456"/>
      <c r="CI2" s="456"/>
      <c r="CJ2" s="456"/>
      <c r="CK2" s="456" t="s">
        <v>326</v>
      </c>
      <c r="CL2" s="150" t="s">
        <v>326</v>
      </c>
      <c r="CM2" s="456" t="s">
        <v>208</v>
      </c>
      <c r="CN2" s="274" t="s">
        <v>208</v>
      </c>
      <c r="CO2" s="456"/>
      <c r="CP2" s="456"/>
      <c r="CQ2" s="456"/>
      <c r="CR2" s="456"/>
      <c r="CS2" s="456"/>
      <c r="CT2" s="456"/>
      <c r="CU2" s="456" t="s">
        <v>326</v>
      </c>
      <c r="CV2" s="150" t="s">
        <v>326</v>
      </c>
      <c r="CW2" s="456"/>
      <c r="CX2" s="456"/>
      <c r="CY2" s="274" t="s">
        <v>208</v>
      </c>
      <c r="CZ2" s="456"/>
      <c r="DA2" s="456"/>
      <c r="DB2" s="456" t="s">
        <v>208</v>
      </c>
      <c r="DC2" s="456" t="s">
        <v>208</v>
      </c>
      <c r="DD2" s="293" t="s">
        <v>208</v>
      </c>
      <c r="DE2" s="464" t="s">
        <v>208</v>
      </c>
      <c r="DF2" s="456"/>
      <c r="DG2" s="267" t="s">
        <v>208</v>
      </c>
      <c r="DH2" s="268" t="s">
        <v>208</v>
      </c>
      <c r="DL2" s="456" t="s">
        <v>208</v>
      </c>
      <c r="DM2" s="292" t="s">
        <v>208</v>
      </c>
      <c r="DN2" s="260" t="s">
        <v>208</v>
      </c>
      <c r="DO2" s="456"/>
      <c r="DP2" s="456"/>
      <c r="DQ2" s="456"/>
      <c r="DR2" s="456" t="s">
        <v>208</v>
      </c>
      <c r="DS2" s="456"/>
      <c r="DT2" s="456"/>
      <c r="DU2" s="456"/>
      <c r="DV2" s="505"/>
      <c r="DW2" s="505"/>
      <c r="DX2" s="505"/>
      <c r="DY2" s="508" t="s">
        <v>208</v>
      </c>
      <c r="DZ2" s="508"/>
      <c r="EA2" s="455"/>
      <c r="EB2" s="455"/>
      <c r="EC2" s="509" t="s">
        <v>208</v>
      </c>
      <c r="ED2" s="510"/>
      <c r="EE2" s="510"/>
      <c r="EF2" s="456"/>
      <c r="EG2" s="456" t="s">
        <v>208</v>
      </c>
      <c r="EH2" s="456" t="s">
        <v>208</v>
      </c>
      <c r="EI2" s="456"/>
      <c r="EJ2" s="258"/>
      <c r="EK2" s="258" t="s">
        <v>208</v>
      </c>
      <c r="EL2" s="456" t="s">
        <v>208</v>
      </c>
    </row>
    <row r="3" spans="1:176" ht="89.25" customHeight="1" x14ac:dyDescent="0.4">
      <c r="A3" s="400"/>
      <c r="AD3" s="478" t="s">
        <v>372</v>
      </c>
      <c r="AE3" s="485" t="str">
        <f>BA3</f>
        <v>Start Date of Period</v>
      </c>
      <c r="AF3" s="397"/>
      <c r="AL3" s="253"/>
      <c r="AM3" s="253"/>
      <c r="AN3" s="253"/>
      <c r="AT3" s="253"/>
      <c r="AU3" s="253"/>
      <c r="AV3" s="253"/>
      <c r="AW3" s="253"/>
      <c r="BA3" s="459" t="s">
        <v>134</v>
      </c>
      <c r="BB3" s="1" t="s">
        <v>154</v>
      </c>
      <c r="BC3" s="459" t="s">
        <v>295</v>
      </c>
      <c r="BD3" s="232" t="s">
        <v>191</v>
      </c>
      <c r="BE3" s="122" t="str">
        <f>DX3</f>
        <v>Alcohol wash of 1/2 cup of young bees</v>
      </c>
      <c r="BF3" s="158" t="s">
        <v>142</v>
      </c>
      <c r="BG3" s="459" t="s">
        <v>140</v>
      </c>
      <c r="BH3" s="503" t="s">
        <v>152</v>
      </c>
      <c r="BI3" s="503"/>
      <c r="BJ3" s="503"/>
      <c r="BK3" s="503"/>
      <c r="BL3" s="503"/>
      <c r="BM3" s="503"/>
      <c r="BP3" s="449" t="s">
        <v>0</v>
      </c>
      <c r="BQ3" s="63" t="s">
        <v>92</v>
      </c>
      <c r="BR3" s="24" t="s">
        <v>7</v>
      </c>
      <c r="BS3" s="460" t="s">
        <v>93</v>
      </c>
      <c r="BT3" s="25" t="s">
        <v>9</v>
      </c>
      <c r="BU3" s="453" t="s">
        <v>8</v>
      </c>
      <c r="BV3" s="453" t="s">
        <v>91</v>
      </c>
      <c r="BW3" s="453" t="s">
        <v>145</v>
      </c>
      <c r="BX3" s="453" t="s">
        <v>10</v>
      </c>
      <c r="BY3" s="142" t="s">
        <v>143</v>
      </c>
      <c r="BZ3" s="140" t="s">
        <v>98</v>
      </c>
      <c r="CA3" s="453" t="s">
        <v>95</v>
      </c>
      <c r="CB3" s="129" t="s">
        <v>94</v>
      </c>
      <c r="CC3" s="453" t="s">
        <v>99</v>
      </c>
      <c r="CD3" s="26" t="s">
        <v>97</v>
      </c>
      <c r="CE3" s="171" t="s">
        <v>297</v>
      </c>
      <c r="CF3" s="303" t="s">
        <v>298</v>
      </c>
      <c r="CG3" s="69" t="s">
        <v>300</v>
      </c>
      <c r="CH3" s="69" t="s">
        <v>301</v>
      </c>
      <c r="CI3" s="69" t="s">
        <v>100</v>
      </c>
      <c r="CJ3" s="69" t="s">
        <v>115</v>
      </c>
      <c r="CK3" s="69" t="s">
        <v>136</v>
      </c>
      <c r="CL3" s="69" t="s">
        <v>139</v>
      </c>
      <c r="CM3" s="69" t="s">
        <v>103</v>
      </c>
      <c r="CN3" s="69" t="s">
        <v>135</v>
      </c>
      <c r="CO3" s="69" t="s">
        <v>120</v>
      </c>
      <c r="CP3" s="69" t="s">
        <v>119</v>
      </c>
      <c r="CQ3" s="446" t="s">
        <v>122</v>
      </c>
      <c r="CR3" s="70" t="s">
        <v>96</v>
      </c>
      <c r="CS3" s="446" t="s">
        <v>101</v>
      </c>
      <c r="CT3" s="446" t="s">
        <v>116</v>
      </c>
      <c r="CU3" s="447" t="s">
        <v>137</v>
      </c>
      <c r="CV3" s="447" t="s">
        <v>138</v>
      </c>
      <c r="CW3" s="446" t="s">
        <v>102</v>
      </c>
      <c r="CX3" s="446" t="s">
        <v>104</v>
      </c>
      <c r="CY3" s="446" t="s">
        <v>135</v>
      </c>
      <c r="CZ3" s="446" t="s">
        <v>120</v>
      </c>
      <c r="DA3" s="446" t="s">
        <v>121</v>
      </c>
      <c r="DB3" s="448" t="s">
        <v>213</v>
      </c>
      <c r="DC3" s="132" t="s">
        <v>220</v>
      </c>
      <c r="DD3" s="132" t="s">
        <v>212</v>
      </c>
      <c r="DE3" s="480" t="s">
        <v>201</v>
      </c>
      <c r="DF3" s="56" t="s">
        <v>199</v>
      </c>
      <c r="DG3" s="132" t="s">
        <v>215</v>
      </c>
      <c r="DH3" s="132" t="s">
        <v>209</v>
      </c>
      <c r="DJ3" s="132" t="s">
        <v>218</v>
      </c>
      <c r="DK3" s="134" t="s">
        <v>219</v>
      </c>
      <c r="DL3" s="134" t="s">
        <v>211</v>
      </c>
      <c r="DM3" s="247" t="s">
        <v>113</v>
      </c>
      <c r="DN3" s="136" t="s">
        <v>133</v>
      </c>
      <c r="DO3" s="97" t="s">
        <v>224</v>
      </c>
      <c r="DP3" s="132" t="s">
        <v>223</v>
      </c>
      <c r="DQ3" s="96" t="s">
        <v>344</v>
      </c>
      <c r="DR3" s="134" t="s">
        <v>127</v>
      </c>
      <c r="DS3" s="56" t="s">
        <v>222</v>
      </c>
      <c r="DT3" s="453" t="s">
        <v>294</v>
      </c>
      <c r="DU3" s="449" t="s">
        <v>0</v>
      </c>
      <c r="DV3" s="453" t="s">
        <v>11</v>
      </c>
      <c r="DW3" s="26" t="s">
        <v>12</v>
      </c>
      <c r="DX3" s="62" t="s">
        <v>114</v>
      </c>
      <c r="DY3" s="350" t="s">
        <v>302</v>
      </c>
      <c r="DZ3" s="350" t="s">
        <v>303</v>
      </c>
      <c r="EA3" s="350" t="s">
        <v>350</v>
      </c>
      <c r="EB3" s="350" t="s">
        <v>296</v>
      </c>
      <c r="EC3" s="453" t="s">
        <v>125</v>
      </c>
      <c r="ED3" s="453" t="s">
        <v>126</v>
      </c>
      <c r="EE3" s="26" t="s">
        <v>205</v>
      </c>
      <c r="EF3" s="26" t="s">
        <v>325</v>
      </c>
      <c r="EG3" s="26" t="s">
        <v>155</v>
      </c>
      <c r="EH3" s="261" t="s">
        <v>206</v>
      </c>
      <c r="EJ3" s="453" t="s">
        <v>176</v>
      </c>
      <c r="EK3" s="167" t="s">
        <v>177</v>
      </c>
      <c r="EL3" s="453" t="s">
        <v>178</v>
      </c>
      <c r="EP3" s="511" t="s">
        <v>217</v>
      </c>
      <c r="EQ3" s="511"/>
      <c r="ES3" s="248" t="s">
        <v>159</v>
      </c>
      <c r="ET3" s="453" t="s">
        <v>89</v>
      </c>
      <c r="EV3" s="300"/>
    </row>
    <row r="4" spans="1:176" x14ac:dyDescent="0.4">
      <c r="A4" s="54"/>
      <c r="B4" s="404"/>
      <c r="AD4" s="481"/>
      <c r="AE4" s="485">
        <f>BA4</f>
        <v>40544</v>
      </c>
      <c r="BA4" s="406">
        <f>IF($AB$20="x", EQ4,EP4)</f>
        <v>40544</v>
      </c>
      <c r="BB4" s="59">
        <f t="shared" ref="BB4:BB27" si="0">IF(EB4&gt;0,"",DF4)</f>
        <v>100</v>
      </c>
      <c r="BC4" s="301">
        <f>IF(EB4&gt;0,"",DT4)</f>
        <v>-5.0125418235442759E-3</v>
      </c>
      <c r="BD4" s="233">
        <f t="shared" ref="BD4:BD28" si="1">IF(EB4&gt;0,"",DM4)</f>
        <v>0</v>
      </c>
      <c r="BE4" s="123">
        <f>IF(EB4&gt;0,"",DX4)</f>
        <v>1.3641486179387587</v>
      </c>
      <c r="BF4" s="4">
        <f t="shared" ref="BF4:BF28" si="2">IF(EB4&gt;0,"",IF(BT4&lt;5,"n/a",CU4))</f>
        <v>0.23242001350979635</v>
      </c>
      <c r="BG4" s="3">
        <f t="shared" ref="BG4:BG28" si="3">IF(EB4&gt;0,"",CA4)</f>
        <v>0.69290088530222671</v>
      </c>
      <c r="BH4" s="126"/>
      <c r="BI4" s="512"/>
      <c r="BJ4" s="512"/>
      <c r="BK4" s="512"/>
      <c r="BL4" s="126"/>
      <c r="BM4" s="126"/>
      <c r="BN4" s="126"/>
      <c r="BP4" s="271">
        <f>BA4</f>
        <v>40544</v>
      </c>
      <c r="BQ4" s="457">
        <f>IF($BA$31="d",'Colony Type'!H31,IF($BA$31="n",'Colony Type'!H59,IF($BA$31="p",'Colony Type'!H87,IF($BA$31="a",'Colony Type'!H115,IF($BA$31="b",'Colony Type'!H143,IF($BA$31="c",'Colony Type'!H171,IF($BA$31="r",'Colony Type'!H199,IF($BA$31="s",'Colony Type'!H227,IF($BA$31="f",'Colony Type'!H255,"error")))))))))</f>
        <v>8</v>
      </c>
      <c r="BR4">
        <f t="shared" ref="BR4:BR27" si="4">BQ4*$BQ$44</f>
        <v>16000</v>
      </c>
      <c r="BS4" s="81">
        <f>IF($BA$31="d",'Colony Type'!F31,IF($BA$31="n",'Colony Type'!F59,IF($BA$31="p",'Colony Type'!F87,IF($BA$31="a",'Colony Type'!F115,IF($BA$31="b",'Colony Type'!F143,IF($BA$31="c",'Colony Type'!F171,IF($BA$31="r",'Colony Type'!F199,IF($BA$31="s",'Colony Type'!F227,IF($BA$31="f",'Colony Type'!F255,"error")))))))))</f>
        <v>4.2999999999999997E-2</v>
      </c>
      <c r="BT4" s="17">
        <f t="shared" ref="BT4:BT27" si="5">IF(BS4=0,1,$BQ$43*BS4)</f>
        <v>193.49999999999997</v>
      </c>
      <c r="BU4" s="21">
        <f t="shared" ref="BU4:BU27" si="6">IF(BR4=0,0,BT4/BR4)</f>
        <v>1.2093749999999999E-2</v>
      </c>
      <c r="BV4">
        <f>BT4*12/20</f>
        <v>116.09999999999998</v>
      </c>
      <c r="BW4" s="18">
        <f>CU4*BV4</f>
        <v>26.983963568487351</v>
      </c>
      <c r="BX4" s="18">
        <f t="shared" ref="BX4:BX27" si="7">BT4/20</f>
        <v>9.6749999999999989</v>
      </c>
      <c r="BY4" s="141">
        <f>IF(BU4=0,0.001,(-$BQ$42*LN(BU4))+$BQ$41)</f>
        <v>27.075332443760409</v>
      </c>
      <c r="BZ4" s="27">
        <f t="shared" ref="BZ4:BZ27" si="8">BY4+12</f>
        <v>39.075332443760409</v>
      </c>
      <c r="CA4" s="32">
        <f t="shared" ref="CA4:CA27" si="9">IF(BS4=0,1,BY4/BZ4)</f>
        <v>0.69290088530222671</v>
      </c>
      <c r="CB4" s="130">
        <f t="shared" ref="CB4:CB27" si="10">1-CA4</f>
        <v>0.30709911469777329</v>
      </c>
      <c r="CC4" s="28">
        <f t="shared" ref="CC4:CC28" si="11">DF4*CB4</f>
        <v>30.709911469777328</v>
      </c>
      <c r="CD4" s="255">
        <f t="shared" ref="CD4:CD27" si="12">0.6*BT4</f>
        <v>116.09999999999998</v>
      </c>
      <c r="CE4" s="80">
        <f>IF($BA$31="d",'Colony Type'!J31,IF($BA$31="n",'Colony Type'!J59,IF($BA$31="p",'Colony Type'!J87,IF($BA$31="a",'Colony Type'!J115,IF($BA$31="b",'Colony Type'!J143,IF($BA$31="c",'Colony Type'!J171,IF($BA$31="r",'Colony Type'!J199,IF($BA$31="s",'Colony Type'!J199,IF($BA$31="f",'Colony Type'!J255,"error")))))))))</f>
        <v>0</v>
      </c>
      <c r="CF4" s="106">
        <f>CE4*16/25</f>
        <v>0</v>
      </c>
      <c r="CG4" s="75">
        <f>CF4*$BQ$42</f>
        <v>0</v>
      </c>
      <c r="CH4" s="102">
        <f>CG4*CB4</f>
        <v>0</v>
      </c>
      <c r="CI4" s="72">
        <f t="shared" ref="CI4:CI27" si="13">CG4*CC4</f>
        <v>0</v>
      </c>
      <c r="CJ4" s="73">
        <f>IF(CF4=0,0,CI4/(CD4*CF4))</f>
        <v>0</v>
      </c>
      <c r="CK4" s="356">
        <f>1-(_xlfn.POISSON.DIST(0,CJ4,FALSE))</f>
        <v>0</v>
      </c>
      <c r="CL4" s="357">
        <f>IF(CK4=0,0,CJ4/CK4)</f>
        <v>0</v>
      </c>
      <c r="CM4" s="73">
        <f t="shared" ref="CM4:CM27" si="14">BY4+15</f>
        <v>42.075332443760409</v>
      </c>
      <c r="CN4" s="355">
        <v>1</v>
      </c>
      <c r="CO4" s="84">
        <f t="shared" ref="CO4:CO27" si="15">(1+($BQ$31*CN4))*$BQ$46</f>
        <v>4.2749999999999995</v>
      </c>
      <c r="CP4" s="78">
        <f>LN(CO4)/14.75</f>
        <v>9.8493837450082944E-2</v>
      </c>
      <c r="CQ4" s="103">
        <f>1-CA4-CH4</f>
        <v>0.30709911469777329</v>
      </c>
      <c r="CR4" s="71">
        <f>(1-CF4)*CD4</f>
        <v>116.09999999999998</v>
      </c>
      <c r="CS4" s="71">
        <f t="shared" ref="CS4:CS27" si="16">CC4-CI4</f>
        <v>30.709911469777328</v>
      </c>
      <c r="CT4" s="74">
        <f t="shared" ref="CT4:CT27" si="17">CS4/CR4</f>
        <v>0.26451258802564453</v>
      </c>
      <c r="CU4" s="353">
        <f>1-(_xlfn.POISSON.DIST(0,CT4,FALSE))</f>
        <v>0.23242001350979635</v>
      </c>
      <c r="CV4" s="355">
        <f>CT4/(CU4+0.000001)</f>
        <v>1.1380751853338578</v>
      </c>
      <c r="CW4" s="76">
        <f t="shared" ref="CW4:CW28" si="18">1-CG4</f>
        <v>1</v>
      </c>
      <c r="CX4" s="74">
        <f t="shared" ref="CX4:CX28" si="19">BY4+12</f>
        <v>39.075332443760409</v>
      </c>
      <c r="CY4" s="354">
        <v>1</v>
      </c>
      <c r="CZ4" s="83">
        <f>(1+($BQ$29*CY4))*$BQ$46</f>
        <v>2.2586249999999999</v>
      </c>
      <c r="DA4" s="79">
        <f t="shared" ref="DA4:DA28" si="20">IF(DF4&gt;2*CR4,0,LN(CZ4)/12.5)</f>
        <v>6.518049768398862E-2</v>
      </c>
      <c r="DB4" s="112">
        <f t="shared" ref="DB4:DB28" si="21">(CH4*CP4+CQ4*DA4)</f>
        <v>2.0016873134313166E-2</v>
      </c>
      <c r="DC4" s="55">
        <f t="shared" ref="DC4:DC28" si="22">IF(BU4&gt;0.25,$BW$38,$BW$37)</f>
        <v>-5.0125418235442863E-3</v>
      </c>
      <c r="DD4" s="133">
        <f t="shared" ref="DD4:DD27" si="23">DB4+DC4</f>
        <v>1.5004331310768879E-2</v>
      </c>
      <c r="DE4" s="467"/>
      <c r="DF4" s="105">
        <f>IF(OR($BA$31="n",$BA$31="p"),0,BA32)</f>
        <v>100</v>
      </c>
      <c r="DG4" s="240">
        <f t="shared" ref="DG4:DG27" si="24">DF4*$BQ$30</f>
        <v>70</v>
      </c>
      <c r="DH4" s="239">
        <f>DG4</f>
        <v>70</v>
      </c>
      <c r="DJ4" s="17">
        <f t="shared" ref="DJ4:DJ28" si="25">DF4+DE4</f>
        <v>100</v>
      </c>
      <c r="DK4" s="266">
        <f>DJ4-DL4</f>
        <v>7.3399166893701562</v>
      </c>
      <c r="DL4" s="135">
        <f t="shared" ref="DL4:DL28" si="26">DJ4*EXP((IF(BU4&gt;0.25,$BW$38,$BW$37)*$BQ$36))</f>
        <v>92.660083310629844</v>
      </c>
      <c r="DM4" s="244">
        <f>'Mite Immigration'!C12</f>
        <v>0</v>
      </c>
      <c r="DN4" s="137"/>
      <c r="DO4" s="238"/>
      <c r="DP4" s="265">
        <f t="shared" ref="DP4:DP28" si="27">DL4+DO4</f>
        <v>92.660083310629844</v>
      </c>
      <c r="DQ4" s="393">
        <f>EK$32</f>
        <v>0</v>
      </c>
      <c r="DR4" s="135">
        <f>DP4*DQ4</f>
        <v>0</v>
      </c>
      <c r="DS4" s="95">
        <f t="shared" ref="DS4:DS27" si="28">DP4-DR4</f>
        <v>92.660083310629844</v>
      </c>
      <c r="DT4" s="29">
        <f t="shared" ref="DT4:DT28" si="29">LN(DS4/DF4)/$BQ$36</f>
        <v>-5.0125418235442759E-3</v>
      </c>
      <c r="DU4" s="271">
        <f t="shared" ref="DU4:DU28" si="30">BA4</f>
        <v>40544</v>
      </c>
      <c r="DV4" s="89">
        <f t="shared" ref="DV4:DV28" si="31">DF4*CA4</f>
        <v>69.290088530222675</v>
      </c>
      <c r="DW4" s="29">
        <f t="shared" ref="DW4:DW28" si="32">IF(BR4=0,0.001,DV4/BR4)</f>
        <v>4.3306305331389169E-3</v>
      </c>
      <c r="DX4" s="145">
        <f t="shared" ref="DX4:DX27" si="33">DW4*315</f>
        <v>1.3641486179387587</v>
      </c>
      <c r="DY4" s="90"/>
      <c r="DZ4" s="90"/>
      <c r="EA4" s="90"/>
      <c r="EB4" s="90"/>
      <c r="EC4" s="90"/>
      <c r="ED4" s="90"/>
      <c r="EE4" s="12"/>
      <c r="EF4" s="12"/>
      <c r="EG4" s="237"/>
      <c r="EH4" s="262"/>
      <c r="EJ4" s="351">
        <f>DF4</f>
        <v>100</v>
      </c>
      <c r="EK4" s="163">
        <v>0</v>
      </c>
      <c r="EL4" s="352">
        <v>0.5</v>
      </c>
      <c r="EP4" s="2">
        <v>40544</v>
      </c>
      <c r="EQ4" s="259">
        <v>42917</v>
      </c>
      <c r="ER4" s="18"/>
      <c r="ES4" s="249"/>
      <c r="EU4" s="18"/>
      <c r="EV4" s="37"/>
      <c r="FT4" s="18"/>
    </row>
    <row r="5" spans="1:176" ht="12.75" customHeight="1" x14ac:dyDescent="0.4">
      <c r="A5" s="54"/>
      <c r="B5" s="401"/>
      <c r="AD5" s="481"/>
      <c r="AE5" s="486">
        <f t="shared" ref="AE5:AE28" si="34">BA5</f>
        <v>40558</v>
      </c>
      <c r="AF5" s="398"/>
      <c r="BA5" s="406">
        <f t="shared" ref="BA5:BA28" si="35">IF($AB$20="x", EQ5,EP5)</f>
        <v>40558</v>
      </c>
      <c r="BB5" s="59">
        <f t="shared" si="0"/>
        <v>92.660083310629844</v>
      </c>
      <c r="BC5" s="301">
        <f t="shared" ref="BC5:BC27" si="36">IF(EB5&gt;0,"",DT5)</f>
        <v>2.4880041243130102E-3</v>
      </c>
      <c r="BD5" s="233">
        <f t="shared" si="1"/>
        <v>0</v>
      </c>
      <c r="BE5" s="123">
        <f t="shared" ref="BE5:BE27" si="37">IF(EB5&gt;0,"",DX5)</f>
        <v>1.2640212458628595</v>
      </c>
      <c r="BF5" s="4">
        <f t="shared" si="2"/>
        <v>0.21737183780904068</v>
      </c>
      <c r="BG5" s="3">
        <f t="shared" si="3"/>
        <v>0.69290088530222671</v>
      </c>
      <c r="BH5" s="499">
        <v>95</v>
      </c>
      <c r="BI5" s="513" t="s">
        <v>309</v>
      </c>
      <c r="BJ5" s="514"/>
      <c r="BK5" s="514"/>
      <c r="BL5" s="514"/>
      <c r="BM5" s="515"/>
      <c r="BP5" s="271">
        <f t="shared" ref="BP5:BP28" si="38">BA5</f>
        <v>40558</v>
      </c>
      <c r="BQ5" s="457">
        <f>IF($BA$31="d",'Colony Type'!H32,IF($BA$31="n",'Colony Type'!H60,IF($BA$31="p",'Colony Type'!H88,IF($BA$31="a",'Colony Type'!H116,IF($BA$31="b",'Colony Type'!H144,IF($BA$31="c",'Colony Type'!H172,IF($BA$31="r",'Colony Type'!H200,IF($BA$31="s",'Colony Type'!H228,IF($BA$31="f",'Colony Type'!H256,"error")))))))))</f>
        <v>8</v>
      </c>
      <c r="BR5">
        <f t="shared" si="4"/>
        <v>16000</v>
      </c>
      <c r="BS5" s="81">
        <f>IF($BA$31="d",'Colony Type'!F32,IF($BA$31="n",'Colony Type'!F60,IF($BA$31="p",'Colony Type'!F88,IF($BA$31="a",'Colony Type'!F116,IF($BA$31="b",'Colony Type'!F144,IF($BA$31="c",'Colony Type'!F172,IF($BA$31="r",'Colony Type'!F200,IF($BA$31="s",'Colony Type'!F228,IF($BA$31="f",'Colony Type'!F256,"error")))))))))</f>
        <v>4.2999999999999997E-2</v>
      </c>
      <c r="BT5" s="17">
        <f t="shared" si="5"/>
        <v>193.49999999999997</v>
      </c>
      <c r="BU5" s="21">
        <f t="shared" si="6"/>
        <v>1.2093749999999999E-2</v>
      </c>
      <c r="BV5">
        <f t="shared" ref="BV5:BV27" si="39">BT5*12/20</f>
        <v>116.09999999999998</v>
      </c>
      <c r="BW5" s="18">
        <f t="shared" ref="BW5:BW27" si="40">CU5*BV5</f>
        <v>25.236870369629617</v>
      </c>
      <c r="BX5" s="18">
        <f t="shared" si="7"/>
        <v>9.6749999999999989</v>
      </c>
      <c r="BY5" s="141">
        <f t="shared" ref="BY5:BY27" si="41">IF(BU5=0,0.001,(-$BQ$42*LN(BU5))+$BQ$41)</f>
        <v>27.075332443760409</v>
      </c>
      <c r="BZ5" s="27">
        <f t="shared" si="8"/>
        <v>39.075332443760409</v>
      </c>
      <c r="CA5" s="32">
        <f t="shared" si="9"/>
        <v>0.69290088530222671</v>
      </c>
      <c r="CB5" s="130">
        <f t="shared" si="10"/>
        <v>0.30709911469777329</v>
      </c>
      <c r="CC5" s="28">
        <f t="shared" si="11"/>
        <v>28.455829552516342</v>
      </c>
      <c r="CD5" s="255">
        <f t="shared" si="12"/>
        <v>116.09999999999998</v>
      </c>
      <c r="CE5" s="80">
        <f>IF($BA$31="d",'Colony Type'!J32,IF($BA$31="n",'Colony Type'!J60,IF($BA$31="p",'Colony Type'!J88,IF($BA$31="a",'Colony Type'!J116,IF($BA$31="b",'Colony Type'!J144,IF($BA$31="c",'Colony Type'!J172,IF($BA$31="r",'Colony Type'!J200,IF($BA$31="s",'Colony Type'!J200,IF($BA$31="f",'Colony Type'!J256,"error")))))))))</f>
        <v>0</v>
      </c>
      <c r="CF5" s="106">
        <f t="shared" ref="CF5:CF28" si="42">CE5*16/25</f>
        <v>0</v>
      </c>
      <c r="CG5" s="75">
        <f t="shared" ref="CG5:CG28" si="43">CF5*$BQ$42</f>
        <v>0</v>
      </c>
      <c r="CH5" s="102">
        <f t="shared" ref="CH5:CH27" si="44">CG5*CB5</f>
        <v>0</v>
      </c>
      <c r="CI5" s="72">
        <f t="shared" si="13"/>
        <v>0</v>
      </c>
      <c r="CJ5" s="73">
        <f t="shared" ref="CJ5:CJ27" si="45">IF(CF5=0,0,CI5/(CD5*CF5))</f>
        <v>0</v>
      </c>
      <c r="CK5" s="356">
        <f t="shared" ref="CK5:CK28" si="46">1-(_xlfn.POISSON.DIST(0,CJ5,FALSE))</f>
        <v>0</v>
      </c>
      <c r="CL5" s="357">
        <f t="shared" ref="CL5:CL27" si="47">IF(CK5=0,0,CJ5/CK5)</f>
        <v>0</v>
      </c>
      <c r="CM5" s="73">
        <f t="shared" si="14"/>
        <v>42.075332443760409</v>
      </c>
      <c r="CN5" s="355">
        <v>1</v>
      </c>
      <c r="CO5" s="84">
        <f t="shared" si="15"/>
        <v>4.2749999999999995</v>
      </c>
      <c r="CP5" s="78">
        <f t="shared" ref="CP5:CP27" si="48">LN(CO5)/14.75</f>
        <v>9.8493837450082944E-2</v>
      </c>
      <c r="CQ5" s="103">
        <f t="shared" ref="CQ5:CQ27" si="49">1-CA5-CH5</f>
        <v>0.30709911469777329</v>
      </c>
      <c r="CR5" s="71">
        <f t="shared" ref="CR5:CR27" si="50">(1-CF5)*CD5</f>
        <v>116.09999999999998</v>
      </c>
      <c r="CS5" s="71">
        <f>CC5-CI5</f>
        <v>28.455829552516342</v>
      </c>
      <c r="CT5" s="74">
        <f t="shared" si="17"/>
        <v>0.24509758443166535</v>
      </c>
      <c r="CU5" s="353">
        <f t="shared" ref="CU5:CU28" si="51">1-(_xlfn.POISSON.DIST(0,CT5,FALSE))</f>
        <v>0.21737183780904068</v>
      </c>
      <c r="CV5" s="355">
        <f t="shared" ref="CV5:CV28" si="52">CT5/(CU5+0.000001)</f>
        <v>1.1275446688835176</v>
      </c>
      <c r="CW5" s="76">
        <f t="shared" si="18"/>
        <v>1</v>
      </c>
      <c r="CX5" s="74">
        <f t="shared" si="19"/>
        <v>39.075332443760409</v>
      </c>
      <c r="CY5" s="354">
        <v>1</v>
      </c>
      <c r="CZ5" s="83">
        <f t="shared" ref="CZ5:CZ28" si="53">(1+($BQ$29*CY5))*$BQ$46</f>
        <v>2.2586249999999999</v>
      </c>
      <c r="DA5" s="79">
        <f t="shared" si="20"/>
        <v>6.518049768398862E-2</v>
      </c>
      <c r="DB5" s="112">
        <f t="shared" si="21"/>
        <v>2.0016873134313166E-2</v>
      </c>
      <c r="DC5" s="55">
        <f t="shared" si="22"/>
        <v>-5.0125418235442863E-3</v>
      </c>
      <c r="DD5" s="133">
        <f t="shared" si="23"/>
        <v>1.5004331310768879E-2</v>
      </c>
      <c r="DE5" s="467">
        <f t="shared" ref="DE5:DE28" si="54">IF(AD5="B",0,DH5*EXP(DB5*$BQ$36)-DH5)</f>
        <v>11.540349336222214</v>
      </c>
      <c r="DF5" s="378">
        <f>IF(OR($BA$31="n",$BA$31="p"),0,DS4)</f>
        <v>92.660083310629844</v>
      </c>
      <c r="DG5" s="240">
        <f t="shared" si="24"/>
        <v>64.862058317440884</v>
      </c>
      <c r="DH5" s="240">
        <f>DG5*(1-EL4)</f>
        <v>32.431029158720442</v>
      </c>
      <c r="DJ5" s="17">
        <f t="shared" si="25"/>
        <v>104.20043264685205</v>
      </c>
      <c r="DK5" s="266">
        <f t="shared" ref="DK5:DK27" si="55">DJ5-DL5</f>
        <v>7.6482249462422089</v>
      </c>
      <c r="DL5" s="135">
        <f t="shared" si="26"/>
        <v>96.552207700609841</v>
      </c>
      <c r="DM5" s="244">
        <f>'Mite Immigration'!C13</f>
        <v>0</v>
      </c>
      <c r="DN5" s="137">
        <f t="shared" ref="DN5:DN27" si="56">IF(EH5&gt;DV5*EG5,-DV5*EG5,-EH5)</f>
        <v>-0.31883807336492531</v>
      </c>
      <c r="DO5" s="98">
        <f>DM5+DN5</f>
        <v>-0.31883807336492531</v>
      </c>
      <c r="DP5" s="265">
        <f t="shared" si="27"/>
        <v>96.233369627244912</v>
      </c>
      <c r="DQ5" s="393">
        <f>EL$32</f>
        <v>0</v>
      </c>
      <c r="DR5" s="135">
        <f t="shared" ref="DR5:DR27" si="57">DP5*DQ5</f>
        <v>0</v>
      </c>
      <c r="DS5" s="95">
        <f t="shared" si="28"/>
        <v>96.233369627244912</v>
      </c>
      <c r="DT5" s="29">
        <f t="shared" si="29"/>
        <v>2.4880041243130102E-3</v>
      </c>
      <c r="DU5" s="271">
        <f t="shared" si="30"/>
        <v>40558</v>
      </c>
      <c r="DV5" s="89">
        <f t="shared" si="31"/>
        <v>64.204253758113495</v>
      </c>
      <c r="DW5" s="29">
        <f t="shared" si="32"/>
        <v>4.0127658598820932E-3</v>
      </c>
      <c r="DX5" s="145">
        <f t="shared" si="33"/>
        <v>1.2640212458628595</v>
      </c>
      <c r="DY5" s="90"/>
      <c r="DZ5" s="90"/>
      <c r="EA5" s="90"/>
      <c r="EB5" s="90"/>
      <c r="EC5" s="17">
        <f t="shared" ref="EC5:EC28" si="58">BT4*0.9/20*$BQ$36</f>
        <v>132.42656249999999</v>
      </c>
      <c r="ED5" s="18">
        <f t="shared" ref="ED5:ED28" si="59">BR5-BR4</f>
        <v>0</v>
      </c>
      <c r="EE5" s="264">
        <f t="shared" ref="EE5:EE27" si="60">EC5-ED5</f>
        <v>132.42656249999999</v>
      </c>
      <c r="EF5" s="264">
        <f>EE5/$BQ$36</f>
        <v>8.7074999999999996</v>
      </c>
      <c r="EG5" s="104">
        <f t="shared" ref="EG5:EG27" si="61">IF(DW5&gt;0.15,1,$BQ$35)</f>
        <v>0.6</v>
      </c>
      <c r="EH5" s="263">
        <f t="shared" ref="EH5:EH27" si="62">EE5*EG5*DW5</f>
        <v>0.31883807336492531</v>
      </c>
      <c r="EJ5" s="17">
        <f t="shared" ref="EJ5:EJ28" si="63">DE5</f>
        <v>11.540349336222214</v>
      </c>
      <c r="EK5" s="163">
        <v>0</v>
      </c>
      <c r="EL5" s="37">
        <f>EK$59</f>
        <v>0</v>
      </c>
      <c r="EP5" s="2">
        <v>40558</v>
      </c>
      <c r="EQ5" s="259">
        <v>42931</v>
      </c>
      <c r="ER5" s="18"/>
      <c r="ES5" s="249"/>
      <c r="ET5">
        <v>5.67</v>
      </c>
      <c r="EU5" s="18"/>
      <c r="EV5" s="37"/>
      <c r="EW5" s="18"/>
      <c r="EX5" s="18"/>
      <c r="EY5" s="18"/>
      <c r="EZ5" s="18"/>
      <c r="FA5" s="18"/>
      <c r="FB5" s="18"/>
      <c r="FC5" s="18"/>
      <c r="FD5" s="18"/>
      <c r="FE5" s="18"/>
      <c r="FF5" s="18"/>
      <c r="FG5" s="18"/>
      <c r="FH5" s="18"/>
      <c r="FI5" s="18"/>
      <c r="FJ5" s="18"/>
      <c r="FK5" s="18"/>
      <c r="FL5" s="18"/>
      <c r="FM5" s="18"/>
    </row>
    <row r="6" spans="1:176" ht="13" customHeight="1" x14ac:dyDescent="0.4">
      <c r="A6" s="54"/>
      <c r="B6" s="401"/>
      <c r="AD6" s="481"/>
      <c r="AE6" s="486">
        <f t="shared" si="34"/>
        <v>40575</v>
      </c>
      <c r="AF6" s="398"/>
      <c r="BA6" s="406">
        <f t="shared" si="35"/>
        <v>40575</v>
      </c>
      <c r="BB6" s="59">
        <f t="shared" si="0"/>
        <v>96.233369627244912</v>
      </c>
      <c r="BC6" s="301">
        <f t="shared" si="36"/>
        <v>9.4162497321565574E-3</v>
      </c>
      <c r="BD6" s="233">
        <f t="shared" si="1"/>
        <v>0</v>
      </c>
      <c r="BE6" s="123">
        <f t="shared" si="37"/>
        <v>1.3127661817659586</v>
      </c>
      <c r="BF6" s="4">
        <f t="shared" si="2"/>
        <v>0.22473422779983987</v>
      </c>
      <c r="BG6" s="3">
        <f t="shared" si="3"/>
        <v>0.69290088530222671</v>
      </c>
      <c r="BH6" s="498"/>
      <c r="BI6" s="516"/>
      <c r="BJ6" s="517"/>
      <c r="BK6" s="517"/>
      <c r="BL6" s="517"/>
      <c r="BM6" s="518"/>
      <c r="BP6" s="271">
        <f t="shared" si="38"/>
        <v>40575</v>
      </c>
      <c r="BQ6" s="457">
        <f>IF($BA$31="d",'Colony Type'!H33,IF($BA$31="n",'Colony Type'!H61,IF($BA$31="p",'Colony Type'!H89,IF($BA$31="a",'Colony Type'!H117,IF($BA$31="b",'Colony Type'!H145,IF($BA$31="c",'Colony Type'!H173,IF($BA$31="r",'Colony Type'!H201,IF($BA$31="s",'Colony Type'!H229,IF($BA$31="f",'Colony Type'!H257,"error")))))))))</f>
        <v>8</v>
      </c>
      <c r="BR6">
        <f t="shared" si="4"/>
        <v>16000</v>
      </c>
      <c r="BS6" s="81">
        <f>IF($BA$31="d",'Colony Type'!F33,IF($BA$31="n",'Colony Type'!F61,IF($BA$31="p",'Colony Type'!F89,IF($BA$31="a",'Colony Type'!F117,IF($BA$31="b",'Colony Type'!F145,IF($BA$31="c",'Colony Type'!F173,IF($BA$31="r",'Colony Type'!F201,IF($BA$31="s",'Colony Type'!F229,IF($BA$31="f",'Colony Type'!F257,"error")))))))))</f>
        <v>4.2999999999999997E-2</v>
      </c>
      <c r="BT6" s="17">
        <f t="shared" si="5"/>
        <v>193.49999999999997</v>
      </c>
      <c r="BU6" s="21">
        <f t="shared" si="6"/>
        <v>1.2093749999999999E-2</v>
      </c>
      <c r="BV6">
        <f t="shared" si="39"/>
        <v>116.09999999999998</v>
      </c>
      <c r="BW6" s="18">
        <f t="shared" si="40"/>
        <v>26.091643847561404</v>
      </c>
      <c r="BX6" s="18">
        <f t="shared" si="7"/>
        <v>9.6749999999999989</v>
      </c>
      <c r="BY6" s="141">
        <f t="shared" si="41"/>
        <v>27.075332443760409</v>
      </c>
      <c r="BZ6" s="27">
        <f t="shared" si="8"/>
        <v>39.075332443760409</v>
      </c>
      <c r="CA6" s="32">
        <f t="shared" si="9"/>
        <v>0.69290088530222671</v>
      </c>
      <c r="CB6" s="130">
        <f t="shared" si="10"/>
        <v>0.30709911469777329</v>
      </c>
      <c r="CC6" s="28">
        <f t="shared" si="11"/>
        <v>29.553182616910497</v>
      </c>
      <c r="CD6" s="255">
        <f t="shared" si="12"/>
        <v>116.09999999999998</v>
      </c>
      <c r="CE6" s="80">
        <f>IF($BA$31="d",'Colony Type'!J33,IF($BA$31="n",'Colony Type'!J61,IF($BA$31="p",'Colony Type'!J89,IF($BA$31="a",'Colony Type'!J117,IF($BA$31="b",'Colony Type'!J145,IF($BA$31="c",'Colony Type'!J173,IF($BA$31="r",'Colony Type'!J201,IF($BA$31="s",'Colony Type'!J201,IF($BA$31="f",'Colony Type'!J257,"error")))))))))</f>
        <v>0</v>
      </c>
      <c r="CF6" s="106">
        <f t="shared" si="42"/>
        <v>0</v>
      </c>
      <c r="CG6" s="75">
        <f t="shared" si="43"/>
        <v>0</v>
      </c>
      <c r="CH6" s="102">
        <f t="shared" si="44"/>
        <v>0</v>
      </c>
      <c r="CI6" s="72">
        <f t="shared" si="13"/>
        <v>0</v>
      </c>
      <c r="CJ6" s="73">
        <f t="shared" si="45"/>
        <v>0</v>
      </c>
      <c r="CK6" s="356">
        <f t="shared" si="46"/>
        <v>0</v>
      </c>
      <c r="CL6" s="357">
        <f t="shared" si="47"/>
        <v>0</v>
      </c>
      <c r="CM6" s="73">
        <f t="shared" si="14"/>
        <v>42.075332443760409</v>
      </c>
      <c r="CN6" s="355">
        <v>1</v>
      </c>
      <c r="CO6" s="84">
        <f t="shared" si="15"/>
        <v>4.2749999999999995</v>
      </c>
      <c r="CP6" s="78">
        <f t="shared" si="48"/>
        <v>9.8493837450082944E-2</v>
      </c>
      <c r="CQ6" s="103">
        <f t="shared" si="49"/>
        <v>0.30709911469777329</v>
      </c>
      <c r="CR6" s="71">
        <f t="shared" si="50"/>
        <v>116.09999999999998</v>
      </c>
      <c r="CS6" s="71">
        <f t="shared" si="16"/>
        <v>29.553182616910497</v>
      </c>
      <c r="CT6" s="74">
        <f t="shared" si="17"/>
        <v>0.25454937654531012</v>
      </c>
      <c r="CU6" s="353">
        <f t="shared" si="51"/>
        <v>0.22473422779983987</v>
      </c>
      <c r="CV6" s="355">
        <f t="shared" si="52"/>
        <v>1.1326634414966941</v>
      </c>
      <c r="CW6" s="76">
        <f t="shared" si="18"/>
        <v>1</v>
      </c>
      <c r="CX6" s="74">
        <f t="shared" si="19"/>
        <v>39.075332443760409</v>
      </c>
      <c r="CY6" s="354">
        <v>1</v>
      </c>
      <c r="CZ6" s="83">
        <f t="shared" si="53"/>
        <v>2.2586249999999999</v>
      </c>
      <c r="DA6" s="79">
        <f t="shared" si="20"/>
        <v>6.518049768398862E-2</v>
      </c>
      <c r="DB6" s="112">
        <f t="shared" si="21"/>
        <v>2.0016873134313166E-2</v>
      </c>
      <c r="DC6" s="55">
        <f t="shared" si="22"/>
        <v>-5.0125418235442863E-3</v>
      </c>
      <c r="DD6" s="133">
        <f t="shared" si="23"/>
        <v>1.5004331310768879E-2</v>
      </c>
      <c r="DE6" s="467">
        <f t="shared" si="54"/>
        <v>23.970768503999395</v>
      </c>
      <c r="DF6" s="378">
        <f>IF(OR($BA$31="n",$BA$31="p"),0,DS5)</f>
        <v>96.233369627244912</v>
      </c>
      <c r="DG6" s="240">
        <f t="shared" si="24"/>
        <v>67.36335873907143</v>
      </c>
      <c r="DH6" s="240">
        <f>DG6*(1-EL5)</f>
        <v>67.36335873907143</v>
      </c>
      <c r="DJ6" s="17">
        <f t="shared" si="25"/>
        <v>120.20413813124431</v>
      </c>
      <c r="DK6" s="266">
        <f t="shared" si="55"/>
        <v>8.822883596008765</v>
      </c>
      <c r="DL6" s="135">
        <f t="shared" si="26"/>
        <v>111.38125453523554</v>
      </c>
      <c r="DM6" s="244">
        <f>'Mite Immigration'!C14</f>
        <v>0</v>
      </c>
      <c r="DN6" s="137">
        <f t="shared" si="56"/>
        <v>-0.33113354822384011</v>
      </c>
      <c r="DO6" s="98">
        <f t="shared" ref="DO6:DO27" si="64">DM6+DN6</f>
        <v>-0.33113354822384011</v>
      </c>
      <c r="DP6" s="265">
        <f t="shared" si="27"/>
        <v>111.0501209870117</v>
      </c>
      <c r="DQ6" s="393">
        <f>EM$32</f>
        <v>0</v>
      </c>
      <c r="DR6" s="135">
        <f t="shared" si="57"/>
        <v>0</v>
      </c>
      <c r="DS6" s="95">
        <f t="shared" si="28"/>
        <v>111.0501209870117</v>
      </c>
      <c r="DT6" s="29">
        <f t="shared" si="29"/>
        <v>9.4162497321565574E-3</v>
      </c>
      <c r="DU6" s="271">
        <f t="shared" si="30"/>
        <v>40575</v>
      </c>
      <c r="DV6" s="89">
        <f t="shared" si="31"/>
        <v>66.680187010334407</v>
      </c>
      <c r="DW6" s="29">
        <f t="shared" si="32"/>
        <v>4.1675116881459001E-3</v>
      </c>
      <c r="DX6" s="145">
        <f t="shared" si="33"/>
        <v>1.3127661817659586</v>
      </c>
      <c r="DY6" t="str">
        <f t="shared" ref="DY6:DY28" si="65">IF(DY5=100,100,IF(CU4&gt;$BQ$37,100,""))</f>
        <v/>
      </c>
      <c r="DZ6" t="str">
        <f t="shared" ref="DZ6:DZ28" si="66">IF(DZ5=100,100,IF(BT6&lt;100,IF(DW6&gt;$BQ$38,100,""),""))</f>
        <v/>
      </c>
      <c r="EB6">
        <f>SUM(DY6:EA6)</f>
        <v>0</v>
      </c>
      <c r="EC6" s="17">
        <f t="shared" si="58"/>
        <v>132.42656249999999</v>
      </c>
      <c r="ED6" s="18">
        <f t="shared" si="59"/>
        <v>0</v>
      </c>
      <c r="EE6" s="264">
        <f t="shared" si="60"/>
        <v>132.42656249999999</v>
      </c>
      <c r="EF6" s="264">
        <f t="shared" ref="EF6:EF28" si="67">EE6/$BQ$36</f>
        <v>8.7074999999999996</v>
      </c>
      <c r="EG6" s="104">
        <f t="shared" si="61"/>
        <v>0.6</v>
      </c>
      <c r="EH6" s="263">
        <f t="shared" si="62"/>
        <v>0.33113354822384011</v>
      </c>
      <c r="EJ6" s="17">
        <f t="shared" si="63"/>
        <v>23.970768503999395</v>
      </c>
      <c r="EK6" s="163">
        <v>0</v>
      </c>
      <c r="EL6" s="37">
        <f>EL$59</f>
        <v>0</v>
      </c>
      <c r="EP6" s="2">
        <v>40575</v>
      </c>
      <c r="EQ6" s="259">
        <v>42948</v>
      </c>
      <c r="ER6" s="18"/>
      <c r="ES6" s="249"/>
      <c r="EU6" s="18"/>
      <c r="EV6" s="37"/>
      <c r="EW6" s="18"/>
      <c r="EX6" s="18"/>
      <c r="EY6" s="18"/>
      <c r="EZ6" s="18"/>
      <c r="FA6" s="18"/>
      <c r="FB6" s="18"/>
      <c r="FC6" s="18"/>
      <c r="FD6" s="18"/>
      <c r="FE6" s="18"/>
      <c r="FF6" s="18"/>
      <c r="FG6" s="18"/>
      <c r="FH6" s="18"/>
      <c r="FI6" s="18"/>
      <c r="FJ6" s="18"/>
      <c r="FK6" s="18"/>
      <c r="FL6" s="18"/>
      <c r="FM6" s="18"/>
    </row>
    <row r="7" spans="1:176" ht="12.75" customHeight="1" x14ac:dyDescent="0.4">
      <c r="A7" s="54"/>
      <c r="B7" s="401"/>
      <c r="AD7" s="481"/>
      <c r="AE7" s="486">
        <f t="shared" si="34"/>
        <v>40589</v>
      </c>
      <c r="AF7" s="398"/>
      <c r="BA7" s="406">
        <f t="shared" si="35"/>
        <v>40589</v>
      </c>
      <c r="BB7" s="59">
        <f t="shared" si="0"/>
        <v>111.0501209870117</v>
      </c>
      <c r="BC7" s="301">
        <f t="shared" si="36"/>
        <v>9.4162497321565713E-3</v>
      </c>
      <c r="BD7" s="233">
        <f t="shared" si="1"/>
        <v>0</v>
      </c>
      <c r="BE7" s="123">
        <f>IF(EB7&gt;0,"",DX7)</f>
        <v>1.5148886906636396</v>
      </c>
      <c r="BF7" s="4">
        <f t="shared" si="2"/>
        <v>0.25453086623012711</v>
      </c>
      <c r="BG7" s="3">
        <f t="shared" si="3"/>
        <v>0.69290088530222671</v>
      </c>
      <c r="BH7" s="499">
        <v>90</v>
      </c>
      <c r="BI7" s="496" t="s">
        <v>1</v>
      </c>
      <c r="BJ7" s="496"/>
      <c r="BK7" s="496"/>
      <c r="BL7" s="496"/>
      <c r="BM7" s="496"/>
      <c r="BP7" s="271">
        <f t="shared" si="38"/>
        <v>40589</v>
      </c>
      <c r="BQ7" s="457">
        <f>IF($BA$31="d",'Colony Type'!H34,IF($BA$31="n",'Colony Type'!H62,IF($BA$31="p",'Colony Type'!H90,IF($BA$31="a",'Colony Type'!H118,IF($BA$31="b",'Colony Type'!H146,IF($BA$31="c",'Colony Type'!H174,IF($BA$31="r",'Colony Type'!H202,IF($BA$31="s",'Colony Type'!H230,IF($BA$31="f",'Colony Type'!H258,"error")))))))))</f>
        <v>8</v>
      </c>
      <c r="BR7">
        <f t="shared" si="4"/>
        <v>16000</v>
      </c>
      <c r="BS7" s="81">
        <f>IF($BA$31="d",'Colony Type'!F34,IF($BA$31="n",'Colony Type'!F62,IF($BA$31="p",'Colony Type'!F90,IF($BA$31="a",'Colony Type'!F118,IF($BA$31="b",'Colony Type'!F146,IF($BA$31="c",'Colony Type'!F174,IF($BA$31="r",'Colony Type'!F202,IF($BA$31="s",'Colony Type'!F230,IF($BA$31="f",'Colony Type'!F258,"error")))))))))</f>
        <v>4.2999999999999997E-2</v>
      </c>
      <c r="BT7" s="17">
        <f t="shared" si="5"/>
        <v>193.49999999999997</v>
      </c>
      <c r="BU7" s="21">
        <f t="shared" si="6"/>
        <v>1.2093749999999999E-2</v>
      </c>
      <c r="BV7">
        <f t="shared" si="39"/>
        <v>116.09999999999998</v>
      </c>
      <c r="BW7" s="18">
        <f t="shared" si="40"/>
        <v>29.551033569317752</v>
      </c>
      <c r="BX7" s="18">
        <f t="shared" si="7"/>
        <v>9.6749999999999989</v>
      </c>
      <c r="BY7" s="141">
        <f t="shared" si="41"/>
        <v>27.075332443760409</v>
      </c>
      <c r="BZ7" s="27">
        <f t="shared" si="8"/>
        <v>39.075332443760409</v>
      </c>
      <c r="CA7" s="32">
        <f t="shared" si="9"/>
        <v>0.69290088530222671</v>
      </c>
      <c r="CB7" s="130">
        <f t="shared" si="10"/>
        <v>0.30709911469777329</v>
      </c>
      <c r="CC7" s="28">
        <f t="shared" si="11"/>
        <v>34.103393842191906</v>
      </c>
      <c r="CD7" s="255">
        <f t="shared" si="12"/>
        <v>116.09999999999998</v>
      </c>
      <c r="CE7" s="80">
        <f>IF($BA$31="d",'Colony Type'!J34,IF($BA$31="n",'Colony Type'!J62,IF($BA$31="p",'Colony Type'!J90,IF($BA$31="a",'Colony Type'!J118,IF($BA$31="b",'Colony Type'!J146,IF($BA$31="c",'Colony Type'!J174,IF($BA$31="r",'Colony Type'!J202,IF($BA$31="s",'Colony Type'!J202,IF($BA$31="f",'Colony Type'!J258,"error")))))))))</f>
        <v>0</v>
      </c>
      <c r="CF7" s="106">
        <f t="shared" si="42"/>
        <v>0</v>
      </c>
      <c r="CG7" s="75">
        <f t="shared" si="43"/>
        <v>0</v>
      </c>
      <c r="CH7" s="102">
        <f t="shared" si="44"/>
        <v>0</v>
      </c>
      <c r="CI7" s="72">
        <f t="shared" si="13"/>
        <v>0</v>
      </c>
      <c r="CJ7" s="73">
        <f t="shared" si="45"/>
        <v>0</v>
      </c>
      <c r="CK7" s="356">
        <f t="shared" si="46"/>
        <v>0</v>
      </c>
      <c r="CL7" s="357">
        <f t="shared" si="47"/>
        <v>0</v>
      </c>
      <c r="CM7" s="73">
        <f t="shared" si="14"/>
        <v>42.075332443760409</v>
      </c>
      <c r="CN7" s="355">
        <v>1</v>
      </c>
      <c r="CO7" s="84">
        <f t="shared" si="15"/>
        <v>4.2749999999999995</v>
      </c>
      <c r="CP7" s="78">
        <f t="shared" si="48"/>
        <v>9.8493837450082944E-2</v>
      </c>
      <c r="CQ7" s="103">
        <f t="shared" si="49"/>
        <v>0.30709911469777329</v>
      </c>
      <c r="CR7" s="71">
        <f t="shared" si="50"/>
        <v>116.09999999999998</v>
      </c>
      <c r="CS7" s="71">
        <f t="shared" si="16"/>
        <v>34.103393842191906</v>
      </c>
      <c r="CT7" s="74">
        <f t="shared" si="17"/>
        <v>0.29374154902835409</v>
      </c>
      <c r="CU7" s="353">
        <f t="shared" si="51"/>
        <v>0.25453086623012711</v>
      </c>
      <c r="CV7" s="355">
        <f t="shared" si="52"/>
        <v>1.1540462629648769</v>
      </c>
      <c r="CW7" s="76">
        <f t="shared" si="18"/>
        <v>1</v>
      </c>
      <c r="CX7" s="74">
        <f t="shared" si="19"/>
        <v>39.075332443760409</v>
      </c>
      <c r="CY7" s="354">
        <v>1</v>
      </c>
      <c r="CZ7" s="83">
        <f t="shared" si="53"/>
        <v>2.2586249999999999</v>
      </c>
      <c r="DA7" s="79">
        <f t="shared" si="20"/>
        <v>6.518049768398862E-2</v>
      </c>
      <c r="DB7" s="112">
        <f t="shared" si="21"/>
        <v>2.0016873134313166E-2</v>
      </c>
      <c r="DC7" s="55">
        <f t="shared" si="22"/>
        <v>-5.0125418235442863E-3</v>
      </c>
      <c r="DD7" s="133">
        <f t="shared" si="23"/>
        <v>1.5004331310768879E-2</v>
      </c>
      <c r="DE7" s="467">
        <f t="shared" si="54"/>
        <v>27.661472863641137</v>
      </c>
      <c r="DF7" s="378">
        <f>IF(OR($BA$31="n",$BA$31="p"),0,DS6)</f>
        <v>111.0501209870117</v>
      </c>
      <c r="DG7" s="240">
        <f t="shared" si="24"/>
        <v>77.735084690908181</v>
      </c>
      <c r="DH7" s="240">
        <f>DG7*(1-EL6)</f>
        <v>77.735084690908181</v>
      </c>
      <c r="DJ7" s="17">
        <f t="shared" si="25"/>
        <v>138.71159385065283</v>
      </c>
      <c r="DK7" s="266">
        <f t="shared" si="55"/>
        <v>10.181315427135416</v>
      </c>
      <c r="DL7" s="135">
        <f t="shared" si="26"/>
        <v>128.53027842351742</v>
      </c>
      <c r="DM7" s="244">
        <f>'Mite Immigration'!C15</f>
        <v>0</v>
      </c>
      <c r="DN7" s="137">
        <f t="shared" si="56"/>
        <v>-0.38211714642802214</v>
      </c>
      <c r="DO7" s="98">
        <f t="shared" si="64"/>
        <v>-0.38211714642802214</v>
      </c>
      <c r="DP7" s="265">
        <f t="shared" si="27"/>
        <v>128.1481612770894</v>
      </c>
      <c r="DQ7" s="393">
        <f>EN$32</f>
        <v>0</v>
      </c>
      <c r="DR7" s="135">
        <f t="shared" si="57"/>
        <v>0</v>
      </c>
      <c r="DS7" s="95">
        <f t="shared" si="28"/>
        <v>128.1481612770894</v>
      </c>
      <c r="DT7" s="29">
        <f t="shared" si="29"/>
        <v>9.4162497321565713E-3</v>
      </c>
      <c r="DU7" s="271">
        <f t="shared" si="30"/>
        <v>40589</v>
      </c>
      <c r="DV7" s="89">
        <f t="shared" si="31"/>
        <v>76.946727144819789</v>
      </c>
      <c r="DW7" s="29">
        <f t="shared" si="32"/>
        <v>4.8091704465512367E-3</v>
      </c>
      <c r="DX7" s="145">
        <f t="shared" si="33"/>
        <v>1.5148886906636396</v>
      </c>
      <c r="DY7" t="str">
        <f t="shared" si="65"/>
        <v/>
      </c>
      <c r="DZ7" t="str">
        <f t="shared" si="66"/>
        <v/>
      </c>
      <c r="EB7">
        <f t="shared" ref="EB7:EB28" si="68">SUM(DY7:EA7)</f>
        <v>0</v>
      </c>
      <c r="EC7" s="17">
        <f t="shared" si="58"/>
        <v>132.42656249999999</v>
      </c>
      <c r="ED7" s="18">
        <f t="shared" si="59"/>
        <v>0</v>
      </c>
      <c r="EE7" s="264">
        <f t="shared" si="60"/>
        <v>132.42656249999999</v>
      </c>
      <c r="EF7" s="264">
        <f t="shared" si="67"/>
        <v>8.7074999999999996</v>
      </c>
      <c r="EG7" s="104">
        <f t="shared" si="61"/>
        <v>0.6</v>
      </c>
      <c r="EH7" s="263">
        <f t="shared" si="62"/>
        <v>0.38211714642802214</v>
      </c>
      <c r="EJ7" s="17">
        <f t="shared" si="63"/>
        <v>27.661472863641137</v>
      </c>
      <c r="EK7" s="163">
        <v>0</v>
      </c>
      <c r="EL7" s="37">
        <f>EM$59</f>
        <v>0</v>
      </c>
      <c r="EP7" s="2">
        <v>40589</v>
      </c>
      <c r="EQ7" s="259">
        <v>42962</v>
      </c>
      <c r="ER7" s="18"/>
      <c r="ES7" s="249"/>
      <c r="ET7">
        <v>6.3</v>
      </c>
      <c r="EU7" s="18"/>
      <c r="EV7" s="37"/>
      <c r="EW7" s="18"/>
      <c r="EX7" s="18"/>
      <c r="EY7" s="18"/>
      <c r="EZ7" s="18"/>
      <c r="FA7" s="18"/>
      <c r="FB7" s="18"/>
      <c r="FC7" s="18"/>
      <c r="FD7" s="18"/>
      <c r="FE7" s="18"/>
      <c r="FF7" s="18"/>
      <c r="FG7" s="18"/>
      <c r="FH7" s="18"/>
      <c r="FI7" s="18"/>
      <c r="FJ7" s="18"/>
      <c r="FK7" s="18"/>
      <c r="FL7" s="18"/>
      <c r="FM7" s="18"/>
    </row>
    <row r="8" spans="1:176" x14ac:dyDescent="0.4">
      <c r="A8" s="54"/>
      <c r="B8" s="401"/>
      <c r="AD8" s="481"/>
      <c r="AE8" s="486">
        <f t="shared" si="34"/>
        <v>40603</v>
      </c>
      <c r="AF8" s="398"/>
      <c r="BA8" s="406">
        <f t="shared" si="35"/>
        <v>40603</v>
      </c>
      <c r="BB8" s="59">
        <f t="shared" si="0"/>
        <v>128.1481612770894</v>
      </c>
      <c r="BC8" s="301">
        <f t="shared" si="36"/>
        <v>6.2213987204857244E-3</v>
      </c>
      <c r="BD8" s="233">
        <f t="shared" si="1"/>
        <v>0</v>
      </c>
      <c r="BE8" s="123">
        <f t="shared" si="37"/>
        <v>1.9824719360695442</v>
      </c>
      <c r="BF8" s="4">
        <f t="shared" si="2"/>
        <v>0.29168080264612917</v>
      </c>
      <c r="BG8" s="3">
        <f t="shared" si="3"/>
        <v>0.6875624507385385</v>
      </c>
      <c r="BH8" s="498"/>
      <c r="BI8" s="496"/>
      <c r="BJ8" s="496"/>
      <c r="BK8" s="496"/>
      <c r="BL8" s="496"/>
      <c r="BM8" s="496"/>
      <c r="BP8" s="271">
        <f t="shared" si="38"/>
        <v>40603</v>
      </c>
      <c r="BQ8" s="457">
        <f>IF($BA$31="d",'Colony Type'!H35,IF($BA$31="n",'Colony Type'!H63,IF($BA$31="p",'Colony Type'!H91,IF($BA$31="a",'Colony Type'!H119,IF($BA$31="b",'Colony Type'!H147,IF($BA$31="c",'Colony Type'!H175,IF($BA$31="r",'Colony Type'!H203,IF($BA$31="s",'Colony Type'!H231,IF($BA$31="f",'Colony Type'!H259,"error")))))))))</f>
        <v>7</v>
      </c>
      <c r="BR8">
        <f t="shared" si="4"/>
        <v>14000</v>
      </c>
      <c r="BS8" s="81">
        <f>IF($BA$31="d",'Colony Type'!F35,IF($BA$31="n",'Colony Type'!F63,IF($BA$31="p",'Colony Type'!F91,IF($BA$31="a",'Colony Type'!F119,IF($BA$31="b",'Colony Type'!F147,IF($BA$31="c",'Colony Type'!F175,IF($BA$31="r",'Colony Type'!F203,IF($BA$31="s",'Colony Type'!F231,IF($BA$31="f",'Colony Type'!F259,"error")))))))))</f>
        <v>4.2999999999999997E-2</v>
      </c>
      <c r="BT8" s="17">
        <f t="shared" si="5"/>
        <v>193.49999999999997</v>
      </c>
      <c r="BU8" s="21">
        <f t="shared" si="6"/>
        <v>1.382142857142857E-2</v>
      </c>
      <c r="BV8">
        <f t="shared" si="39"/>
        <v>116.09999999999998</v>
      </c>
      <c r="BW8" s="18">
        <f t="shared" si="40"/>
        <v>33.864141187215587</v>
      </c>
      <c r="BX8" s="18">
        <f t="shared" si="7"/>
        <v>9.6749999999999989</v>
      </c>
      <c r="BY8" s="141">
        <f t="shared" si="41"/>
        <v>26.407675480637796</v>
      </c>
      <c r="BZ8" s="27">
        <f t="shared" si="8"/>
        <v>38.407675480637792</v>
      </c>
      <c r="CA8" s="32">
        <f t="shared" si="9"/>
        <v>0.6875624507385385</v>
      </c>
      <c r="CB8" s="130">
        <f t="shared" si="10"/>
        <v>0.3124375492614615</v>
      </c>
      <c r="CC8" s="28">
        <f t="shared" si="11"/>
        <v>40.03829745177633</v>
      </c>
      <c r="CD8" s="255">
        <f t="shared" si="12"/>
        <v>116.09999999999998</v>
      </c>
      <c r="CE8" s="80">
        <f>IF($BA$31="d",'Colony Type'!J35,IF($BA$31="n",'Colony Type'!J63,IF($BA$31="p",'Colony Type'!J91,IF($BA$31="a",'Colony Type'!J119,IF($BA$31="b",'Colony Type'!J147,IF($BA$31="c",'Colony Type'!J175,IF($BA$31="r",'Colony Type'!J203,IF($BA$31="s",'Colony Type'!J203,IF($BA$31="f",'Colony Type'!J259,"error")))))))))</f>
        <v>0</v>
      </c>
      <c r="CF8" s="106">
        <f t="shared" si="42"/>
        <v>0</v>
      </c>
      <c r="CG8" s="75">
        <f t="shared" si="43"/>
        <v>0</v>
      </c>
      <c r="CH8" s="102">
        <f t="shared" si="44"/>
        <v>0</v>
      </c>
      <c r="CI8" s="72">
        <f t="shared" si="13"/>
        <v>0</v>
      </c>
      <c r="CJ8" s="73">
        <f t="shared" si="45"/>
        <v>0</v>
      </c>
      <c r="CK8" s="356">
        <f t="shared" si="46"/>
        <v>0</v>
      </c>
      <c r="CL8" s="357">
        <f t="shared" si="47"/>
        <v>0</v>
      </c>
      <c r="CM8" s="73">
        <f t="shared" si="14"/>
        <v>41.407675480637792</v>
      </c>
      <c r="CN8" s="355">
        <v>1</v>
      </c>
      <c r="CO8" s="84">
        <f t="shared" si="15"/>
        <v>4.2749999999999995</v>
      </c>
      <c r="CP8" s="78">
        <f t="shared" si="48"/>
        <v>9.8493837450082944E-2</v>
      </c>
      <c r="CQ8" s="103">
        <f t="shared" si="49"/>
        <v>0.3124375492614615</v>
      </c>
      <c r="CR8" s="71">
        <f t="shared" si="50"/>
        <v>116.09999999999998</v>
      </c>
      <c r="CS8" s="71">
        <f t="shared" si="16"/>
        <v>40.03829745177633</v>
      </c>
      <c r="CT8" s="74">
        <f t="shared" si="17"/>
        <v>0.34486044316775483</v>
      </c>
      <c r="CU8" s="353">
        <f t="shared" si="51"/>
        <v>0.29168080264612917</v>
      </c>
      <c r="CV8" s="355">
        <f t="shared" si="52"/>
        <v>1.1823173061849952</v>
      </c>
      <c r="CW8" s="76">
        <f t="shared" si="18"/>
        <v>1</v>
      </c>
      <c r="CX8" s="74">
        <f t="shared" si="19"/>
        <v>38.407675480637792</v>
      </c>
      <c r="CY8" s="354">
        <v>1</v>
      </c>
      <c r="CZ8" s="83">
        <f t="shared" si="53"/>
        <v>2.2586249999999999</v>
      </c>
      <c r="DA8" s="79">
        <f t="shared" si="20"/>
        <v>6.518049768398862E-2</v>
      </c>
      <c r="DB8" s="112">
        <f t="shared" si="21"/>
        <v>2.0364834956027773E-2</v>
      </c>
      <c r="DC8" s="55">
        <f t="shared" si="22"/>
        <v>-5.0125418235442863E-3</v>
      </c>
      <c r="DD8" s="133">
        <f t="shared" si="23"/>
        <v>1.5352293132483485E-2</v>
      </c>
      <c r="DE8" s="467">
        <f t="shared" si="54"/>
        <v>32.565754583867559</v>
      </c>
      <c r="DF8" s="378">
        <f>IF(OR($BA$31="n",$BA$31="p"),0,DS7)</f>
        <v>128.1481612770894</v>
      </c>
      <c r="DG8" s="240">
        <f t="shared" si="24"/>
        <v>89.703712893962575</v>
      </c>
      <c r="DH8" s="240">
        <f>DG8*(1-EL7)</f>
        <v>89.703712893962575</v>
      </c>
      <c r="DJ8" s="17">
        <f t="shared" si="25"/>
        <v>160.71391586095694</v>
      </c>
      <c r="DK8" s="266">
        <f t="shared" si="55"/>
        <v>11.79626753241871</v>
      </c>
      <c r="DL8" s="135">
        <f t="shared" si="26"/>
        <v>148.91764832853823</v>
      </c>
      <c r="DM8" s="244">
        <f>'Mite Immigration'!C16</f>
        <v>0</v>
      </c>
      <c r="DN8" s="137">
        <f t="shared" si="56"/>
        <v>-8.0523348874009475</v>
      </c>
      <c r="DO8" s="98">
        <f t="shared" si="64"/>
        <v>-8.0523348874009475</v>
      </c>
      <c r="DP8" s="265">
        <f t="shared" si="27"/>
        <v>140.86531344113729</v>
      </c>
      <c r="DQ8" s="393">
        <f>EO$32</f>
        <v>0</v>
      </c>
      <c r="DR8" s="135">
        <f t="shared" si="57"/>
        <v>0</v>
      </c>
      <c r="DS8" s="95">
        <f t="shared" si="28"/>
        <v>140.86531344113729</v>
      </c>
      <c r="DT8" s="29">
        <f t="shared" si="29"/>
        <v>6.2213987204857244E-3</v>
      </c>
      <c r="DU8" s="271">
        <f t="shared" si="30"/>
        <v>40603</v>
      </c>
      <c r="DV8" s="89">
        <f t="shared" si="31"/>
        <v>88.10986382531307</v>
      </c>
      <c r="DW8" s="29">
        <f t="shared" si="32"/>
        <v>6.2935617018080765E-3</v>
      </c>
      <c r="DX8" s="145">
        <f t="shared" si="33"/>
        <v>1.9824719360695442</v>
      </c>
      <c r="DY8" t="str">
        <f t="shared" si="65"/>
        <v/>
      </c>
      <c r="DZ8" t="str">
        <f t="shared" si="66"/>
        <v/>
      </c>
      <c r="EB8">
        <f t="shared" si="68"/>
        <v>0</v>
      </c>
      <c r="EC8" s="17">
        <f t="shared" si="58"/>
        <v>132.42656249999999</v>
      </c>
      <c r="ED8" s="18">
        <f t="shared" si="59"/>
        <v>-2000</v>
      </c>
      <c r="EE8" s="264">
        <f t="shared" si="60"/>
        <v>2132.4265624999998</v>
      </c>
      <c r="EF8" s="264">
        <f t="shared" si="67"/>
        <v>140.21434931506849</v>
      </c>
      <c r="EG8" s="104">
        <f t="shared" si="61"/>
        <v>0.6</v>
      </c>
      <c r="EH8" s="263">
        <f t="shared" si="62"/>
        <v>8.0523348874009475</v>
      </c>
      <c r="EJ8" s="17">
        <f t="shared" si="63"/>
        <v>32.565754583867559</v>
      </c>
      <c r="EK8" s="163">
        <v>0</v>
      </c>
      <c r="EL8" s="37">
        <f>EN$59</f>
        <v>0</v>
      </c>
      <c r="EP8" s="2">
        <v>40603</v>
      </c>
      <c r="EQ8" s="259">
        <v>42979</v>
      </c>
      <c r="ES8" s="249"/>
      <c r="EU8" s="18"/>
      <c r="EV8" s="37"/>
    </row>
    <row r="9" spans="1:176" ht="12.75" customHeight="1" x14ac:dyDescent="0.4">
      <c r="A9" s="54"/>
      <c r="B9" s="401"/>
      <c r="AD9" s="481"/>
      <c r="AE9" s="486">
        <f t="shared" si="34"/>
        <v>40617</v>
      </c>
      <c r="AF9" s="398"/>
      <c r="BA9" s="406">
        <f t="shared" si="35"/>
        <v>40617</v>
      </c>
      <c r="BB9" s="59">
        <f t="shared" si="0"/>
        <v>140.86531344113729</v>
      </c>
      <c r="BC9" s="301">
        <f t="shared" si="36"/>
        <v>1.5945673040231697E-2</v>
      </c>
      <c r="BD9" s="233">
        <f t="shared" si="1"/>
        <v>0</v>
      </c>
      <c r="BE9" s="123">
        <f t="shared" si="37"/>
        <v>1.9486888639003257</v>
      </c>
      <c r="BF9" s="4">
        <f t="shared" si="2"/>
        <v>4.5717441093964806E-2</v>
      </c>
      <c r="BG9" s="3">
        <f t="shared" si="3"/>
        <v>0.52699819728752795</v>
      </c>
      <c r="BH9" s="499">
        <v>90</v>
      </c>
      <c r="BI9" s="513" t="s">
        <v>310</v>
      </c>
      <c r="BJ9" s="514"/>
      <c r="BK9" s="514"/>
      <c r="BL9" s="514"/>
      <c r="BM9" s="515"/>
      <c r="BP9" s="271">
        <f t="shared" si="38"/>
        <v>40617</v>
      </c>
      <c r="BQ9" s="457">
        <f>IF($BA$31="d",'Colony Type'!H36,IF($BA$31="n",'Colony Type'!H64,IF($BA$31="p",'Colony Type'!H92,IF($BA$31="a",'Colony Type'!H120,IF($BA$31="b",'Colony Type'!H148,IF($BA$31="c",'Colony Type'!H176,IF($BA$31="r",'Colony Type'!H204,IF($BA$31="s",'Colony Type'!H232,IF($BA$31="f",'Colony Type'!H260,"error")))))))))</f>
        <v>6</v>
      </c>
      <c r="BR9">
        <f t="shared" si="4"/>
        <v>12000</v>
      </c>
      <c r="BS9" s="81">
        <f>IF($BA$31="d",'Colony Type'!F36,IF($BA$31="n",'Colony Type'!F64,IF($BA$31="p",'Colony Type'!F92,IF($BA$31="a",'Colony Type'!F120,IF($BA$31="b",'Colony Type'!F148,IF($BA$31="c",'Colony Type'!F176,IF($BA$31="r",'Colony Type'!F204,IF($BA$31="s",'Colony Type'!F232,IF($BA$31="f",'Colony Type'!F260,"error")))))))))</f>
        <v>0.5</v>
      </c>
      <c r="BT9" s="17">
        <f t="shared" si="5"/>
        <v>2250</v>
      </c>
      <c r="BU9" s="21">
        <f t="shared" si="6"/>
        <v>0.1875</v>
      </c>
      <c r="BV9">
        <f t="shared" si="39"/>
        <v>1350</v>
      </c>
      <c r="BW9" s="18">
        <f t="shared" si="40"/>
        <v>61.718545476852491</v>
      </c>
      <c r="BX9" s="18">
        <f t="shared" si="7"/>
        <v>112.5</v>
      </c>
      <c r="BY9" s="141">
        <f t="shared" si="41"/>
        <v>13.369882167858357</v>
      </c>
      <c r="BZ9" s="27">
        <f t="shared" si="8"/>
        <v>25.369882167858357</v>
      </c>
      <c r="CA9" s="32">
        <f t="shared" si="9"/>
        <v>0.52699819728752795</v>
      </c>
      <c r="CB9" s="130">
        <f t="shared" si="10"/>
        <v>0.47300180271247205</v>
      </c>
      <c r="CC9" s="28">
        <f t="shared" si="11"/>
        <v>66.629547197315361</v>
      </c>
      <c r="CD9" s="255">
        <f t="shared" si="12"/>
        <v>1350</v>
      </c>
      <c r="CE9" s="80">
        <f>IF($BA$31="d",'Colony Type'!J36,IF($BA$31="n",'Colony Type'!J64,IF($BA$31="p",'Colony Type'!J92,IF($BA$31="a",'Colony Type'!J120,IF($BA$31="b",'Colony Type'!J148,IF($BA$31="c",'Colony Type'!J176,IF($BA$31="r",'Colony Type'!J204,IF($BA$31="s",'Colony Type'!J204,IF($BA$31="f",'Colony Type'!J260,"error")))))))))</f>
        <v>0.02</v>
      </c>
      <c r="CF9" s="106">
        <f t="shared" si="42"/>
        <v>1.2800000000000001E-2</v>
      </c>
      <c r="CG9" s="75">
        <f t="shared" si="43"/>
        <v>6.4000000000000001E-2</v>
      </c>
      <c r="CH9" s="102">
        <f t="shared" si="44"/>
        <v>3.0272115373598214E-2</v>
      </c>
      <c r="CI9" s="72">
        <f t="shared" si="13"/>
        <v>4.2642910206281828</v>
      </c>
      <c r="CJ9" s="73">
        <f t="shared" si="45"/>
        <v>0.24677610073079759</v>
      </c>
      <c r="CK9" s="356">
        <f t="shared" si="46"/>
        <v>0.21868439005709994</v>
      </c>
      <c r="CL9" s="357">
        <f t="shared" si="47"/>
        <v>1.1284577772851676</v>
      </c>
      <c r="CM9" s="73">
        <f t="shared" si="14"/>
        <v>28.369882167858357</v>
      </c>
      <c r="CN9" s="355">
        <v>1</v>
      </c>
      <c r="CO9" s="84">
        <f t="shared" si="15"/>
        <v>4.2749999999999995</v>
      </c>
      <c r="CP9" s="78">
        <f t="shared" si="48"/>
        <v>9.8493837450082944E-2</v>
      </c>
      <c r="CQ9" s="103">
        <f t="shared" si="49"/>
        <v>0.44272968733887386</v>
      </c>
      <c r="CR9" s="71">
        <f t="shared" si="50"/>
        <v>1332.72</v>
      </c>
      <c r="CS9" s="71">
        <f t="shared" si="16"/>
        <v>62.365256176687176</v>
      </c>
      <c r="CT9" s="74">
        <f t="shared" si="17"/>
        <v>4.6795468047817375E-2</v>
      </c>
      <c r="CU9" s="353">
        <f t="shared" si="51"/>
        <v>4.5717441093964806E-2</v>
      </c>
      <c r="CV9" s="355">
        <f t="shared" si="52"/>
        <v>1.0235578232345885</v>
      </c>
      <c r="CW9" s="76">
        <f t="shared" si="18"/>
        <v>0.93599999999999994</v>
      </c>
      <c r="CX9" s="74">
        <f t="shared" si="19"/>
        <v>25.369882167858357</v>
      </c>
      <c r="CY9" s="354">
        <v>1</v>
      </c>
      <c r="CZ9" s="83">
        <f t="shared" si="53"/>
        <v>2.2586249999999999</v>
      </c>
      <c r="DA9" s="79">
        <f t="shared" si="20"/>
        <v>6.518049768398862E-2</v>
      </c>
      <c r="DB9" s="112">
        <f t="shared" si="21"/>
        <v>3.1838958171101814E-2</v>
      </c>
      <c r="DC9" s="55">
        <f t="shared" si="22"/>
        <v>-5.0125418235442863E-3</v>
      </c>
      <c r="DD9" s="133">
        <f t="shared" si="23"/>
        <v>2.6826416347557527E-2</v>
      </c>
      <c r="DE9" s="467">
        <f t="shared" si="54"/>
        <v>61.421953339040869</v>
      </c>
      <c r="DF9" s="378">
        <f>IF(OR($BA$31="n",$BA$31="p"),0,DS8)</f>
        <v>140.86531344113729</v>
      </c>
      <c r="DG9" s="240">
        <f t="shared" si="24"/>
        <v>98.605719408796091</v>
      </c>
      <c r="DH9" s="240">
        <f>DG9*(1-EL8)</f>
        <v>98.605719408796091</v>
      </c>
      <c r="DJ9" s="17">
        <f t="shared" si="25"/>
        <v>202.28726678017816</v>
      </c>
      <c r="DK9" s="266">
        <f t="shared" si="55"/>
        <v>14.847716854869049</v>
      </c>
      <c r="DL9" s="135">
        <f t="shared" si="26"/>
        <v>187.43954992530911</v>
      </c>
      <c r="DM9" s="244">
        <f>'Mite Immigration'!C17</f>
        <v>0</v>
      </c>
      <c r="DN9" s="137">
        <f t="shared" si="56"/>
        <v>-7.9151159912933364</v>
      </c>
      <c r="DO9" s="98">
        <f t="shared" si="64"/>
        <v>-7.9151159912933364</v>
      </c>
      <c r="DP9" s="265">
        <f t="shared" si="27"/>
        <v>179.52443393401578</v>
      </c>
      <c r="DQ9" s="393">
        <f>EP$32</f>
        <v>0</v>
      </c>
      <c r="DR9" s="135">
        <f t="shared" si="57"/>
        <v>0</v>
      </c>
      <c r="DS9" s="95">
        <f t="shared" si="28"/>
        <v>179.52443393401578</v>
      </c>
      <c r="DT9" s="29">
        <f t="shared" si="29"/>
        <v>1.5945673040231697E-2</v>
      </c>
      <c r="DU9" s="271">
        <f t="shared" si="30"/>
        <v>40617</v>
      </c>
      <c r="DV9" s="89">
        <f t="shared" si="31"/>
        <v>74.235766243821928</v>
      </c>
      <c r="DW9" s="29">
        <f t="shared" si="32"/>
        <v>6.1863138536518278E-3</v>
      </c>
      <c r="DX9" s="145">
        <f t="shared" si="33"/>
        <v>1.9486888639003257</v>
      </c>
      <c r="DY9" t="str">
        <f t="shared" si="65"/>
        <v/>
      </c>
      <c r="DZ9" t="str">
        <f t="shared" si="66"/>
        <v/>
      </c>
      <c r="EB9">
        <f t="shared" si="68"/>
        <v>0</v>
      </c>
      <c r="EC9" s="17">
        <f t="shared" si="58"/>
        <v>132.42656249999999</v>
      </c>
      <c r="ED9" s="18">
        <f t="shared" si="59"/>
        <v>-2000</v>
      </c>
      <c r="EE9" s="264">
        <f t="shared" si="60"/>
        <v>2132.4265624999998</v>
      </c>
      <c r="EF9" s="264">
        <f t="shared" si="67"/>
        <v>140.21434931506849</v>
      </c>
      <c r="EG9" s="104">
        <f t="shared" si="61"/>
        <v>0.6</v>
      </c>
      <c r="EH9" s="263">
        <f t="shared" si="62"/>
        <v>7.9151159912933364</v>
      </c>
      <c r="EJ9" s="17">
        <f t="shared" si="63"/>
        <v>61.421953339040869</v>
      </c>
      <c r="EK9" s="164">
        <f>EP$57</f>
        <v>63.67644803087736</v>
      </c>
      <c r="EL9" s="37">
        <f>EO$59</f>
        <v>0</v>
      </c>
      <c r="EP9" s="2">
        <v>40617</v>
      </c>
      <c r="EQ9" s="259">
        <v>42993</v>
      </c>
      <c r="ES9" s="249"/>
      <c r="ET9">
        <v>10.08</v>
      </c>
      <c r="EU9" s="18"/>
      <c r="EV9" s="18"/>
    </row>
    <row r="10" spans="1:176" x14ac:dyDescent="0.4">
      <c r="A10" s="54"/>
      <c r="B10" s="401"/>
      <c r="AD10" s="481" t="s">
        <v>55</v>
      </c>
      <c r="AE10" s="486">
        <f t="shared" si="34"/>
        <v>40634</v>
      </c>
      <c r="AF10" s="398"/>
      <c r="BA10" s="406">
        <f t="shared" si="35"/>
        <v>40634</v>
      </c>
      <c r="BB10" s="59">
        <f t="shared" si="0"/>
        <v>179.52443393401578</v>
      </c>
      <c r="BC10" s="301">
        <f t="shared" si="36"/>
        <v>-8.5756172426814069E-3</v>
      </c>
      <c r="BD10" s="233">
        <f t="shared" si="1"/>
        <v>0</v>
      </c>
      <c r="BE10" s="123">
        <f t="shared" si="37"/>
        <v>2.1308044169292661</v>
      </c>
      <c r="BF10" s="4">
        <f t="shared" si="2"/>
        <v>3.3016618604130188E-2</v>
      </c>
      <c r="BG10" s="3">
        <f t="shared" si="3"/>
        <v>0.45215851579925165</v>
      </c>
      <c r="BH10" s="498"/>
      <c r="BI10" s="516"/>
      <c r="BJ10" s="517"/>
      <c r="BK10" s="517"/>
      <c r="BL10" s="517"/>
      <c r="BM10" s="518"/>
      <c r="BP10" s="271">
        <f t="shared" si="38"/>
        <v>40634</v>
      </c>
      <c r="BQ10" s="457">
        <f>IF($BA$31="d",'Colony Type'!H37,IF($BA$31="n",'Colony Type'!H65,IF($BA$31="p",'Colony Type'!H93,IF($BA$31="a",'Colony Type'!H121,IF($BA$31="b",'Colony Type'!H149,IF($BA$31="c",'Colony Type'!H177,IF($BA$31="r",'Colony Type'!H205,IF($BA$31="s",'Colony Type'!H233,IF($BA$31="f",'Colony Type'!H261,"error")))))))))</f>
        <v>6</v>
      </c>
      <c r="BR10">
        <f t="shared" si="4"/>
        <v>12000</v>
      </c>
      <c r="BS10" s="81">
        <f>IF($BA$31="d",'Colony Type'!F37,IF($BA$31="n",'Colony Type'!F65,IF($BA$31="p",'Colony Type'!F93,IF($BA$31="a",'Colony Type'!F121,IF($BA$31="b",'Colony Type'!F149,IF($BA$31="c",'Colony Type'!F177,IF($BA$31="r",'Colony Type'!F205,IF($BA$31="s",'Colony Type'!F233,IF($BA$31="f",'Colony Type'!F261,"error")))))))))</f>
        <v>1</v>
      </c>
      <c r="BT10" s="17">
        <f t="shared" si="5"/>
        <v>4500</v>
      </c>
      <c r="BU10" s="21">
        <f t="shared" si="6"/>
        <v>0.375</v>
      </c>
      <c r="BV10">
        <f t="shared" si="39"/>
        <v>2700</v>
      </c>
      <c r="BW10" s="18">
        <f t="shared" si="40"/>
        <v>89.144870231151501</v>
      </c>
      <c r="BX10" s="18">
        <f t="shared" si="7"/>
        <v>225</v>
      </c>
      <c r="BY10" s="141">
        <f t="shared" si="41"/>
        <v>9.9041462650586318</v>
      </c>
      <c r="BZ10" s="27">
        <f t="shared" si="8"/>
        <v>21.904146265058632</v>
      </c>
      <c r="CA10" s="32">
        <f t="shared" si="9"/>
        <v>0.45215851579925165</v>
      </c>
      <c r="CB10" s="130">
        <f t="shared" si="10"/>
        <v>0.54784148420074841</v>
      </c>
      <c r="CC10" s="28">
        <f t="shared" si="11"/>
        <v>98.3509323367104</v>
      </c>
      <c r="CD10" s="255">
        <f t="shared" si="12"/>
        <v>2700</v>
      </c>
      <c r="CE10" s="80">
        <f>IF($BA$31="d",'Colony Type'!J37,IF($BA$31="n",'Colony Type'!J65,IF($BA$31="p",'Colony Type'!J93,IF($BA$31="a",'Colony Type'!J121,IF($BA$31="b",'Colony Type'!J149,IF($BA$31="c",'Colony Type'!J177,IF($BA$31="r",'Colony Type'!J205,IF($BA$31="s",'Colony Type'!J205,IF($BA$31="f",'Colony Type'!J261,"error")))))))))</f>
        <v>0.03</v>
      </c>
      <c r="CF10" s="106">
        <f t="shared" si="42"/>
        <v>1.9199999999999998E-2</v>
      </c>
      <c r="CG10" s="75">
        <f t="shared" si="43"/>
        <v>9.5999999999999988E-2</v>
      </c>
      <c r="CH10" s="102">
        <f t="shared" si="44"/>
        <v>5.2592782483271844E-2</v>
      </c>
      <c r="CI10" s="72">
        <f t="shared" si="13"/>
        <v>9.4416895043241968</v>
      </c>
      <c r="CJ10" s="73">
        <f t="shared" si="45"/>
        <v>0.18213135617909332</v>
      </c>
      <c r="CK10" s="356">
        <f t="shared" si="46"/>
        <v>0.16650815107987904</v>
      </c>
      <c r="CL10" s="357">
        <f t="shared" si="47"/>
        <v>1.0938284702453958</v>
      </c>
      <c r="CM10" s="73">
        <f t="shared" si="14"/>
        <v>24.904146265058632</v>
      </c>
      <c r="CN10" s="355">
        <v>1</v>
      </c>
      <c r="CO10" s="84">
        <f t="shared" si="15"/>
        <v>4.2749999999999995</v>
      </c>
      <c r="CP10" s="78">
        <f t="shared" si="48"/>
        <v>9.8493837450082944E-2</v>
      </c>
      <c r="CQ10" s="103">
        <f t="shared" si="49"/>
        <v>0.49524870171747659</v>
      </c>
      <c r="CR10" s="71">
        <f t="shared" si="50"/>
        <v>2648.16</v>
      </c>
      <c r="CS10" s="71">
        <f t="shared" si="16"/>
        <v>88.909242832386198</v>
      </c>
      <c r="CT10" s="74">
        <f t="shared" si="17"/>
        <v>3.3573969409849178E-2</v>
      </c>
      <c r="CU10" s="353">
        <f t="shared" si="51"/>
        <v>3.3016618604130188E-2</v>
      </c>
      <c r="CV10" s="355">
        <f t="shared" si="52"/>
        <v>1.0168501190951851</v>
      </c>
      <c r="CW10" s="76">
        <f t="shared" si="18"/>
        <v>0.90400000000000003</v>
      </c>
      <c r="CX10" s="74">
        <f t="shared" si="19"/>
        <v>21.904146265058632</v>
      </c>
      <c r="CY10" s="354">
        <v>1</v>
      </c>
      <c r="CZ10" s="83">
        <f t="shared" si="53"/>
        <v>2.2586249999999999</v>
      </c>
      <c r="DA10" s="79">
        <f t="shared" si="20"/>
        <v>6.518049768398862E-2</v>
      </c>
      <c r="DB10" s="112">
        <f t="shared" si="21"/>
        <v>3.74606218242493E-2</v>
      </c>
      <c r="DC10" s="55">
        <f t="shared" si="22"/>
        <v>-6.0180723255630212E-3</v>
      </c>
      <c r="DD10" s="133">
        <f t="shared" si="23"/>
        <v>3.144254949868628E-2</v>
      </c>
      <c r="DE10" s="467">
        <f t="shared" si="54"/>
        <v>0</v>
      </c>
      <c r="DF10" s="379">
        <f>IF(OR($BA$31="n",$BA$31="p"),BA32,DS9)</f>
        <v>179.52443393401578</v>
      </c>
      <c r="DG10" s="240">
        <f t="shared" si="24"/>
        <v>125.66710375381103</v>
      </c>
      <c r="DH10" s="379">
        <f>IF(OR($BA$31="n",$BA$31="p"),(DG10*(1-0.5)),(DG10*(1-EL9)))</f>
        <v>125.66710375381103</v>
      </c>
      <c r="DJ10" s="17">
        <f t="shared" si="25"/>
        <v>179.52443393401578</v>
      </c>
      <c r="DK10" s="266">
        <f t="shared" si="55"/>
        <v>15.701451265464357</v>
      </c>
      <c r="DL10" s="135">
        <f t="shared" si="26"/>
        <v>163.82298266855142</v>
      </c>
      <c r="DM10" s="244">
        <f>'Mite Immigration'!C18</f>
        <v>0</v>
      </c>
      <c r="DN10" s="137">
        <f t="shared" si="56"/>
        <v>-6.2497254550112844</v>
      </c>
      <c r="DO10" s="98">
        <f t="shared" si="64"/>
        <v>-6.2497254550112844</v>
      </c>
      <c r="DP10" s="265">
        <f t="shared" si="27"/>
        <v>157.57325721354013</v>
      </c>
      <c r="DQ10" s="393">
        <f>EQ$32</f>
        <v>0</v>
      </c>
      <c r="DR10" s="135">
        <f t="shared" si="57"/>
        <v>0</v>
      </c>
      <c r="DS10" s="95">
        <f t="shared" si="28"/>
        <v>157.57325721354013</v>
      </c>
      <c r="DT10" s="29">
        <f t="shared" si="29"/>
        <v>-8.5756172426814069E-3</v>
      </c>
      <c r="DU10" s="271">
        <f t="shared" si="30"/>
        <v>40634</v>
      </c>
      <c r="DV10" s="89">
        <f t="shared" si="31"/>
        <v>81.173501597305375</v>
      </c>
      <c r="DW10" s="29">
        <f t="shared" si="32"/>
        <v>6.7644584664421142E-3</v>
      </c>
      <c r="DX10" s="145">
        <f t="shared" si="33"/>
        <v>2.1308044169292661</v>
      </c>
      <c r="DY10" t="str">
        <f t="shared" si="65"/>
        <v/>
      </c>
      <c r="DZ10" t="str">
        <f t="shared" si="66"/>
        <v/>
      </c>
      <c r="EB10">
        <f t="shared" si="68"/>
        <v>0</v>
      </c>
      <c r="EC10" s="17">
        <f t="shared" si="58"/>
        <v>1539.84375</v>
      </c>
      <c r="ED10" s="18">
        <f t="shared" si="59"/>
        <v>0</v>
      </c>
      <c r="EE10" s="264">
        <f t="shared" si="60"/>
        <v>1539.84375</v>
      </c>
      <c r="EF10" s="264">
        <f t="shared" si="67"/>
        <v>101.25</v>
      </c>
      <c r="EG10" s="104">
        <f t="shared" si="61"/>
        <v>0.6</v>
      </c>
      <c r="EH10" s="263">
        <f t="shared" si="62"/>
        <v>6.2497254550112844</v>
      </c>
      <c r="EJ10" s="17">
        <f t="shared" si="63"/>
        <v>0</v>
      </c>
      <c r="EK10" s="164">
        <f>EQ$57</f>
        <v>65.528602282013154</v>
      </c>
      <c r="EL10" s="380">
        <f>IF(OR($BA$31="n",$BA$31="p"),0.15,EP59)</f>
        <v>0.31172367557490838</v>
      </c>
      <c r="EP10" s="2">
        <v>40634</v>
      </c>
      <c r="EQ10" s="259">
        <v>43009</v>
      </c>
      <c r="ES10" s="249"/>
      <c r="EU10" s="18"/>
      <c r="EV10" s="18"/>
    </row>
    <row r="11" spans="1:176" ht="12.75" customHeight="1" x14ac:dyDescent="0.4">
      <c r="A11" s="54"/>
      <c r="B11" s="401"/>
      <c r="AD11" s="481" t="s">
        <v>55</v>
      </c>
      <c r="AE11" s="486">
        <f t="shared" si="34"/>
        <v>40648</v>
      </c>
      <c r="AF11" s="398"/>
      <c r="BA11" s="406">
        <f t="shared" si="35"/>
        <v>40648</v>
      </c>
      <c r="BB11" s="59">
        <f t="shared" si="0"/>
        <v>157.57325721354013</v>
      </c>
      <c r="BC11" s="301">
        <f t="shared" si="36"/>
        <v>-7.5220277139901627E-3</v>
      </c>
      <c r="BD11" s="233">
        <f t="shared" si="1"/>
        <v>0</v>
      </c>
      <c r="BE11" s="123">
        <f t="shared" si="37"/>
        <v>0.55430109686979978</v>
      </c>
      <c r="BF11" s="4">
        <f t="shared" si="2"/>
        <v>8.4573836908860001E-3</v>
      </c>
      <c r="BG11" s="3">
        <f t="shared" si="3"/>
        <v>0.1340089849960413</v>
      </c>
      <c r="BH11" s="499">
        <v>50</v>
      </c>
      <c r="BI11" s="496" t="s">
        <v>311</v>
      </c>
      <c r="BJ11" s="496"/>
      <c r="BK11" s="496"/>
      <c r="BL11" s="496"/>
      <c r="BM11" s="496"/>
      <c r="BP11" s="271">
        <f t="shared" si="38"/>
        <v>40648</v>
      </c>
      <c r="BQ11" s="457">
        <f>IF($BA$31="d",'Colony Type'!H38,IF($BA$31="n",'Colony Type'!H66,IF($BA$31="p",'Colony Type'!H94,IF($BA$31="a",'Colony Type'!H122,IF($BA$31="b",'Colony Type'!H150,IF($BA$31="c",'Colony Type'!H178,IF($BA$31="r",'Colony Type'!H206,IF($BA$31="s",'Colony Type'!H234,IF($BA$31="f",'Colony Type'!H262,"error")))))))))</f>
        <v>6</v>
      </c>
      <c r="BR11">
        <f t="shared" si="4"/>
        <v>12000</v>
      </c>
      <c r="BS11" s="81">
        <f>IF($BA$31="d",'Colony Type'!F38,IF($BA$31="n",'Colony Type'!F66,IF($BA$31="p",'Colony Type'!F94,IF($BA$31="a",'Colony Type'!F122,IF($BA$31="b",'Colony Type'!F150,IF($BA$31="c",'Colony Type'!F178,IF($BA$31="r",'Colony Type'!F206,IF($BA$31="s",'Colony Type'!F234,IF($BA$31="f",'Colony Type'!F262,"error")))))))))</f>
        <v>5</v>
      </c>
      <c r="BT11" s="17">
        <f t="shared" si="5"/>
        <v>22500</v>
      </c>
      <c r="BU11" s="21">
        <f t="shared" si="6"/>
        <v>1.875</v>
      </c>
      <c r="BV11">
        <f t="shared" si="39"/>
        <v>13500</v>
      </c>
      <c r="BW11" s="18">
        <f t="shared" si="40"/>
        <v>114.174679826961</v>
      </c>
      <c r="BX11" s="18">
        <f t="shared" si="7"/>
        <v>1125</v>
      </c>
      <c r="BY11" s="141">
        <f t="shared" si="41"/>
        <v>1.8569567028881293</v>
      </c>
      <c r="BZ11" s="27">
        <f t="shared" si="8"/>
        <v>13.85695670288813</v>
      </c>
      <c r="CA11" s="32">
        <f t="shared" si="9"/>
        <v>0.1340089849960413</v>
      </c>
      <c r="CB11" s="130">
        <f t="shared" si="10"/>
        <v>0.8659910150039587</v>
      </c>
      <c r="CC11" s="28">
        <f t="shared" si="11"/>
        <v>136.45702495183349</v>
      </c>
      <c r="CD11" s="255">
        <f t="shared" si="12"/>
        <v>13500</v>
      </c>
      <c r="CE11" s="80">
        <f>IF($BA$31="d",'Colony Type'!J38,IF($BA$31="n",'Colony Type'!J66,IF($BA$31="p",'Colony Type'!J94,IF($BA$31="a",'Colony Type'!J122,IF($BA$31="b",'Colony Type'!J150,IF($BA$31="c",'Colony Type'!J178,IF($BA$31="r",'Colony Type'!J206,IF($BA$31="s",'Colony Type'!J206,IF($BA$31="f",'Colony Type'!J262,"error")))))))))</f>
        <v>0.06</v>
      </c>
      <c r="CF11" s="106">
        <f t="shared" si="42"/>
        <v>3.8399999999999997E-2</v>
      </c>
      <c r="CG11" s="75">
        <f t="shared" si="43"/>
        <v>0.19199999999999998</v>
      </c>
      <c r="CH11" s="102">
        <f t="shared" si="44"/>
        <v>0.16627027488076004</v>
      </c>
      <c r="CI11" s="72">
        <f t="shared" si="13"/>
        <v>26.199748790752025</v>
      </c>
      <c r="CJ11" s="73">
        <f t="shared" si="45"/>
        <v>5.0539638871049432E-2</v>
      </c>
      <c r="CK11" s="356">
        <f t="shared" si="46"/>
        <v>4.9283757393129957E-2</v>
      </c>
      <c r="CL11" s="357">
        <f t="shared" si="47"/>
        <v>1.0254826649660957</v>
      </c>
      <c r="CM11" s="73">
        <f t="shared" si="14"/>
        <v>16.85695670288813</v>
      </c>
      <c r="CN11" s="355">
        <v>1</v>
      </c>
      <c r="CO11" s="84">
        <f t="shared" si="15"/>
        <v>4.2749999999999995</v>
      </c>
      <c r="CP11" s="78">
        <f t="shared" si="48"/>
        <v>9.8493837450082944E-2</v>
      </c>
      <c r="CQ11" s="103">
        <f t="shared" si="49"/>
        <v>0.69972074012319863</v>
      </c>
      <c r="CR11" s="71">
        <f t="shared" si="50"/>
        <v>12981.6</v>
      </c>
      <c r="CS11" s="71">
        <f t="shared" si="16"/>
        <v>110.25727616108146</v>
      </c>
      <c r="CT11" s="74">
        <f t="shared" si="17"/>
        <v>8.4933502928053132E-3</v>
      </c>
      <c r="CU11" s="353">
        <f t="shared" si="51"/>
        <v>8.4573836908860001E-3</v>
      </c>
      <c r="CV11" s="355">
        <f t="shared" si="52"/>
        <v>1.0041339578809827</v>
      </c>
      <c r="CW11" s="76">
        <f t="shared" si="18"/>
        <v>0.80800000000000005</v>
      </c>
      <c r="CX11" s="74">
        <f t="shared" si="19"/>
        <v>13.85695670288813</v>
      </c>
      <c r="CY11" s="354">
        <v>1</v>
      </c>
      <c r="CZ11" s="83">
        <f t="shared" si="53"/>
        <v>2.2586249999999999</v>
      </c>
      <c r="DA11" s="79">
        <f t="shared" si="20"/>
        <v>6.518049768398862E-2</v>
      </c>
      <c r="DB11" s="112">
        <f t="shared" si="21"/>
        <v>6.1984743507925141E-2</v>
      </c>
      <c r="DC11" s="55">
        <f t="shared" si="22"/>
        <v>-6.0180723255630212E-3</v>
      </c>
      <c r="DD11" s="133">
        <f t="shared" si="23"/>
        <v>5.5966671182362121E-2</v>
      </c>
      <c r="DE11" s="467">
        <f t="shared" si="54"/>
        <v>0</v>
      </c>
      <c r="DF11" s="378">
        <f>DS10</f>
        <v>157.57325721354013</v>
      </c>
      <c r="DG11" s="240">
        <f t="shared" si="24"/>
        <v>110.30128004947808</v>
      </c>
      <c r="DH11" s="379">
        <f>IF(OR($BA$31="n",$BA$31="p"),(DG11*(1-0.25)),(DG11*(1-EL10)))</f>
        <v>75.917759611837454</v>
      </c>
      <c r="DJ11" s="17">
        <f t="shared" si="25"/>
        <v>157.57325721354013</v>
      </c>
      <c r="DK11" s="266">
        <f t="shared" si="55"/>
        <v>13.781571481173671</v>
      </c>
      <c r="DL11" s="135">
        <f t="shared" si="26"/>
        <v>143.79168573236646</v>
      </c>
      <c r="DM11" s="244">
        <f>'Mite Immigration'!C19</f>
        <v>0</v>
      </c>
      <c r="DN11" s="137">
        <f t="shared" si="56"/>
        <v>-3.2515698271737361</v>
      </c>
      <c r="DO11" s="98">
        <f t="shared" si="64"/>
        <v>-3.2515698271737361</v>
      </c>
      <c r="DP11" s="265">
        <f t="shared" si="27"/>
        <v>140.54011590519272</v>
      </c>
      <c r="DQ11" s="393">
        <f>ER$32</f>
        <v>0</v>
      </c>
      <c r="DR11" s="135">
        <f t="shared" si="57"/>
        <v>0</v>
      </c>
      <c r="DS11" s="95">
        <f t="shared" si="28"/>
        <v>140.54011590519272</v>
      </c>
      <c r="DT11" s="29">
        <f t="shared" si="29"/>
        <v>-7.5220277139901627E-3</v>
      </c>
      <c r="DU11" s="271">
        <f t="shared" si="30"/>
        <v>40648</v>
      </c>
      <c r="DV11" s="89">
        <f t="shared" si="31"/>
        <v>21.116232261706656</v>
      </c>
      <c r="DW11" s="29">
        <f t="shared" si="32"/>
        <v>1.7596860218088881E-3</v>
      </c>
      <c r="DX11" s="145">
        <f t="shared" si="33"/>
        <v>0.55430109686979978</v>
      </c>
      <c r="DY11" t="str">
        <f t="shared" si="65"/>
        <v/>
      </c>
      <c r="DZ11" t="str">
        <f t="shared" si="66"/>
        <v/>
      </c>
      <c r="EB11">
        <f t="shared" si="68"/>
        <v>0</v>
      </c>
      <c r="EC11" s="17">
        <f t="shared" si="58"/>
        <v>3079.6875</v>
      </c>
      <c r="ED11" s="18">
        <f t="shared" si="59"/>
        <v>0</v>
      </c>
      <c r="EE11" s="264">
        <f t="shared" si="60"/>
        <v>3079.6875</v>
      </c>
      <c r="EF11" s="264">
        <f t="shared" si="67"/>
        <v>202.5</v>
      </c>
      <c r="EG11" s="104">
        <f t="shared" si="61"/>
        <v>0.6</v>
      </c>
      <c r="EH11" s="263">
        <f t="shared" si="62"/>
        <v>3.2515698271737361</v>
      </c>
      <c r="EJ11" s="17">
        <f t="shared" si="63"/>
        <v>0</v>
      </c>
      <c r="EK11" s="164">
        <f>ER$57</f>
        <v>75.136134398999957</v>
      </c>
      <c r="EL11" s="37">
        <f>EQ$59</f>
        <v>0.35109617433061063</v>
      </c>
      <c r="EP11" s="2">
        <v>40648</v>
      </c>
      <c r="EQ11" s="259">
        <v>43023</v>
      </c>
      <c r="ES11" s="249">
        <v>0.62</v>
      </c>
      <c r="ET11">
        <v>7.875</v>
      </c>
      <c r="EU11" s="18"/>
      <c r="EV11" s="18"/>
    </row>
    <row r="12" spans="1:176" x14ac:dyDescent="0.4">
      <c r="A12" s="54"/>
      <c r="B12" s="401"/>
      <c r="AD12" s="481"/>
      <c r="AE12" s="486">
        <f t="shared" si="34"/>
        <v>40664</v>
      </c>
      <c r="AF12" s="398"/>
      <c r="BA12" s="406">
        <f t="shared" si="35"/>
        <v>40664</v>
      </c>
      <c r="BB12" s="59">
        <f t="shared" si="0"/>
        <v>140.54011590519272</v>
      </c>
      <c r="BC12" s="301">
        <f t="shared" si="36"/>
        <v>2.7434052115024393E-2</v>
      </c>
      <c r="BD12" s="233">
        <f t="shared" si="1"/>
        <v>0</v>
      </c>
      <c r="BE12" s="123">
        <f t="shared" si="37"/>
        <v>0.41008634197977289</v>
      </c>
      <c r="BF12" s="4">
        <f t="shared" si="2"/>
        <v>4.3916963586320135E-3</v>
      </c>
      <c r="BG12" s="3">
        <f t="shared" si="3"/>
        <v>0.18526545175024842</v>
      </c>
      <c r="BH12" s="498"/>
      <c r="BI12" s="496"/>
      <c r="BJ12" s="496"/>
      <c r="BK12" s="496"/>
      <c r="BL12" s="496"/>
      <c r="BM12" s="496"/>
      <c r="BP12" s="271">
        <f t="shared" si="38"/>
        <v>40664</v>
      </c>
      <c r="BQ12" s="457">
        <f>IF($BA$31="d",'Colony Type'!H39,IF($BA$31="n",'Colony Type'!H67,IF($BA$31="p",'Colony Type'!H95,IF($BA$31="a",'Colony Type'!H123,IF($BA$31="b",'Colony Type'!H151,IF($BA$31="c",'Colony Type'!H179,IF($BA$31="r",'Colony Type'!H207,IF($BA$31="s",'Colony Type'!H235,IF($BA$31="f",'Colony Type'!H263,"error")))))))))</f>
        <v>10</v>
      </c>
      <c r="BR12">
        <f t="shared" si="4"/>
        <v>20000</v>
      </c>
      <c r="BS12" s="81">
        <f>IF($BA$31="d",'Colony Type'!F39,IF($BA$31="n",'Colony Type'!F67,IF($BA$31="p",'Colony Type'!F95,IF($BA$31="a",'Colony Type'!F123,IF($BA$31="b",'Colony Type'!F151,IF($BA$31="c",'Colony Type'!F179,IF($BA$31="r",'Colony Type'!F207,IF($BA$31="s",'Colony Type'!F235,IF($BA$31="f",'Colony Type'!F263,"error")))))))))</f>
        <v>7</v>
      </c>
      <c r="BT12" s="17">
        <f t="shared" si="5"/>
        <v>31500</v>
      </c>
      <c r="BU12" s="21">
        <f t="shared" si="6"/>
        <v>1.575</v>
      </c>
      <c r="BV12">
        <f t="shared" si="39"/>
        <v>18900</v>
      </c>
      <c r="BW12" s="18">
        <f t="shared" si="40"/>
        <v>83.00306117814506</v>
      </c>
      <c r="BX12" s="18">
        <f t="shared" si="7"/>
        <v>1575</v>
      </c>
      <c r="BY12" s="141">
        <f t="shared" si="41"/>
        <v>2.7287236386120179</v>
      </c>
      <c r="BZ12" s="27">
        <f t="shared" si="8"/>
        <v>14.728723638612017</v>
      </c>
      <c r="CA12" s="32">
        <f t="shared" si="9"/>
        <v>0.18526545175024842</v>
      </c>
      <c r="CB12" s="130">
        <f t="shared" si="10"/>
        <v>0.81473454824975156</v>
      </c>
      <c r="CC12" s="28">
        <f t="shared" si="11"/>
        <v>114.50288784298492</v>
      </c>
      <c r="CD12" s="255">
        <f t="shared" si="12"/>
        <v>18900</v>
      </c>
      <c r="CE12" s="80">
        <f>IF($BA$31="d",'Colony Type'!J39,IF($BA$31="n",'Colony Type'!J67,IF($BA$31="p",'Colony Type'!J95,IF($BA$31="a",'Colony Type'!J123,IF($BA$31="b",'Colony Type'!J151,IF($BA$31="c",'Colony Type'!J179,IF($BA$31="r",'Colony Type'!J207,IF($BA$31="s",'Colony Type'!J207,IF($BA$31="f",'Colony Type'!J263,"error")))))))))</f>
        <v>0.1</v>
      </c>
      <c r="CF12" s="106">
        <f t="shared" si="42"/>
        <v>6.4000000000000001E-2</v>
      </c>
      <c r="CG12" s="75">
        <f t="shared" si="43"/>
        <v>0.32</v>
      </c>
      <c r="CH12" s="102">
        <f t="shared" si="44"/>
        <v>0.26071505543992052</v>
      </c>
      <c r="CI12" s="72">
        <f t="shared" si="13"/>
        <v>36.640924109755176</v>
      </c>
      <c r="CJ12" s="73">
        <f t="shared" si="45"/>
        <v>3.029176927063093E-2</v>
      </c>
      <c r="CK12" s="356">
        <f t="shared" si="46"/>
        <v>2.9837571334341395E-2</v>
      </c>
      <c r="CL12" s="357">
        <f t="shared" si="47"/>
        <v>1.0152223494063934</v>
      </c>
      <c r="CM12" s="73">
        <f t="shared" si="14"/>
        <v>17.728723638612017</v>
      </c>
      <c r="CN12" s="355">
        <v>1</v>
      </c>
      <c r="CO12" s="84">
        <f t="shared" si="15"/>
        <v>4.2749999999999995</v>
      </c>
      <c r="CP12" s="78">
        <f t="shared" si="48"/>
        <v>9.8493837450082944E-2</v>
      </c>
      <c r="CQ12" s="103">
        <f t="shared" si="49"/>
        <v>0.55401949280983098</v>
      </c>
      <c r="CR12" s="71">
        <f t="shared" si="50"/>
        <v>17690.399999999998</v>
      </c>
      <c r="CS12" s="71">
        <f t="shared" si="16"/>
        <v>77.861963733229743</v>
      </c>
      <c r="CT12" s="74">
        <f>CS12/CR12</f>
        <v>4.401368184621589E-3</v>
      </c>
      <c r="CU12" s="353">
        <f t="shared" si="51"/>
        <v>4.3916963586320135E-3</v>
      </c>
      <c r="CV12" s="355">
        <f t="shared" si="52"/>
        <v>1.0019741464653105</v>
      </c>
      <c r="CW12" s="76">
        <f t="shared" si="18"/>
        <v>0.67999999999999994</v>
      </c>
      <c r="CX12" s="74">
        <f t="shared" si="19"/>
        <v>14.728723638612017</v>
      </c>
      <c r="CY12" s="354">
        <v>1</v>
      </c>
      <c r="CZ12" s="83">
        <f t="shared" si="53"/>
        <v>2.2586249999999999</v>
      </c>
      <c r="DA12" s="79">
        <f t="shared" si="20"/>
        <v>6.518049768398862E-2</v>
      </c>
      <c r="DB12" s="112">
        <f t="shared" si="21"/>
        <v>6.1790092559264626E-2</v>
      </c>
      <c r="DC12" s="55">
        <f t="shared" si="22"/>
        <v>-6.0180723255630212E-3</v>
      </c>
      <c r="DD12" s="133">
        <f t="shared" si="23"/>
        <v>5.5772020233701605E-2</v>
      </c>
      <c r="DE12" s="467">
        <f t="shared" si="54"/>
        <v>99.540912617378524</v>
      </c>
      <c r="DF12" s="378">
        <f t="shared" ref="DF12:DF28" si="69">DS11</f>
        <v>140.54011590519272</v>
      </c>
      <c r="DG12" s="240">
        <f t="shared" si="24"/>
        <v>98.378081133634893</v>
      </c>
      <c r="DH12" s="240">
        <f t="shared" ref="DH12:DH28" si="70">DG12*(1-EL11)</f>
        <v>63.837913209629257</v>
      </c>
      <c r="DJ12" s="17">
        <f t="shared" si="25"/>
        <v>240.08102852257124</v>
      </c>
      <c r="DK12" s="266">
        <f t="shared" si="55"/>
        <v>20.997813425749229</v>
      </c>
      <c r="DL12" s="135">
        <f t="shared" si="26"/>
        <v>219.08321509682202</v>
      </c>
      <c r="DM12" s="244">
        <f>'Mite Immigration'!C20</f>
        <v>0</v>
      </c>
      <c r="DN12" s="137">
        <f t="shared" si="56"/>
        <v>-5.7790441347447166</v>
      </c>
      <c r="DO12" s="98">
        <f t="shared" si="64"/>
        <v>-5.7790441347447166</v>
      </c>
      <c r="DP12" s="265">
        <f t="shared" si="27"/>
        <v>213.30417096207731</v>
      </c>
      <c r="DQ12" s="393">
        <f>ES$32</f>
        <v>0</v>
      </c>
      <c r="DR12" s="135">
        <f t="shared" si="57"/>
        <v>0</v>
      </c>
      <c r="DS12" s="95">
        <f t="shared" si="28"/>
        <v>213.30417096207731</v>
      </c>
      <c r="DT12" s="29">
        <f t="shared" si="29"/>
        <v>2.7434052115024393E-2</v>
      </c>
      <c r="DU12" s="271">
        <f t="shared" si="30"/>
        <v>40664</v>
      </c>
      <c r="DV12" s="89">
        <f t="shared" si="31"/>
        <v>26.037228062207802</v>
      </c>
      <c r="DW12" s="29">
        <f t="shared" si="32"/>
        <v>1.3018614031103902E-3</v>
      </c>
      <c r="DX12" s="145">
        <f t="shared" si="33"/>
        <v>0.41008634197977289</v>
      </c>
      <c r="DY12" t="str">
        <f t="shared" si="65"/>
        <v/>
      </c>
      <c r="DZ12" t="str">
        <f t="shared" si="66"/>
        <v/>
      </c>
      <c r="EB12">
        <f t="shared" si="68"/>
        <v>0</v>
      </c>
      <c r="EC12" s="17">
        <f t="shared" si="58"/>
        <v>15398.4375</v>
      </c>
      <c r="ED12" s="18">
        <f t="shared" si="59"/>
        <v>8000</v>
      </c>
      <c r="EE12" s="264">
        <f t="shared" si="60"/>
        <v>7398.4375</v>
      </c>
      <c r="EF12" s="264">
        <f t="shared" si="67"/>
        <v>486.47260273972603</v>
      </c>
      <c r="EG12" s="104">
        <f t="shared" si="61"/>
        <v>0.6</v>
      </c>
      <c r="EH12" s="263">
        <f t="shared" si="62"/>
        <v>5.7790441347447166</v>
      </c>
      <c r="EJ12" s="17">
        <f t="shared" si="63"/>
        <v>99.540912617378524</v>
      </c>
      <c r="EK12" s="164">
        <f>ES$57</f>
        <v>86.264487086130544</v>
      </c>
      <c r="EL12" s="37">
        <f>ER$59</f>
        <v>0.44060383654622637</v>
      </c>
      <c r="EP12" s="2">
        <v>40664</v>
      </c>
      <c r="EQ12" s="259">
        <v>43040</v>
      </c>
      <c r="ES12" s="249">
        <v>0.6</v>
      </c>
      <c r="EU12" s="18"/>
      <c r="EV12" s="18"/>
    </row>
    <row r="13" spans="1:176" ht="12.75" customHeight="1" x14ac:dyDescent="0.4">
      <c r="A13" s="54"/>
      <c r="B13" s="401"/>
      <c r="AD13" s="481"/>
      <c r="AE13" s="486">
        <f t="shared" si="34"/>
        <v>40678</v>
      </c>
      <c r="AF13" s="398"/>
      <c r="BA13" s="406">
        <f t="shared" si="35"/>
        <v>40678</v>
      </c>
      <c r="BB13" s="59">
        <f t="shared" si="0"/>
        <v>213.30417096207731</v>
      </c>
      <c r="BC13" s="301">
        <f t="shared" si="36"/>
        <v>1.763647149574956E-2</v>
      </c>
      <c r="BD13" s="233">
        <f t="shared" si="1"/>
        <v>0</v>
      </c>
      <c r="BE13" s="123">
        <f t="shared" si="37"/>
        <v>0.64500040753348498</v>
      </c>
      <c r="BF13" s="4">
        <f t="shared" si="2"/>
        <v>5.9774140504017526E-3</v>
      </c>
      <c r="BG13" s="3">
        <f t="shared" si="3"/>
        <v>0.26878691260437249</v>
      </c>
      <c r="BH13" s="499" t="s">
        <v>308</v>
      </c>
      <c r="BI13" s="496" t="s">
        <v>312</v>
      </c>
      <c r="BJ13" s="496"/>
      <c r="BK13" s="496"/>
      <c r="BL13" s="496"/>
      <c r="BM13" s="496"/>
      <c r="BP13" s="271">
        <f t="shared" si="38"/>
        <v>40678</v>
      </c>
      <c r="BQ13" s="457">
        <f>IF($BA$31="d",'Colony Type'!H40,IF($BA$31="n",'Colony Type'!H68,IF($BA$31="p",'Colony Type'!H96,IF($BA$31="a",'Colony Type'!H124,IF($BA$31="b",'Colony Type'!H152,IF($BA$31="c",'Colony Type'!H180,IF($BA$31="r",'Colony Type'!H208,IF($BA$31="s",'Colony Type'!H236,IF($BA$31="f",'Colony Type'!H264,"error")))))))))</f>
        <v>14</v>
      </c>
      <c r="BR13">
        <f t="shared" si="4"/>
        <v>28000</v>
      </c>
      <c r="BS13" s="81">
        <f>IF($BA$31="d",'Colony Type'!F40,IF($BA$31="n",'Colony Type'!F68,IF($BA$31="p",'Colony Type'!F96,IF($BA$31="a",'Colony Type'!F124,IF($BA$31="b",'Colony Type'!F152,IF($BA$31="c",'Colony Type'!F180,IF($BA$31="r",'Colony Type'!F208,IF($BA$31="s",'Colony Type'!F236,IF($BA$31="f",'Colony Type'!F264,"error")))))))))</f>
        <v>7</v>
      </c>
      <c r="BT13" s="17">
        <f t="shared" si="5"/>
        <v>31500</v>
      </c>
      <c r="BU13" s="21">
        <f t="shared" si="6"/>
        <v>1.125</v>
      </c>
      <c r="BV13">
        <f t="shared" si="39"/>
        <v>18900</v>
      </c>
      <c r="BW13" s="18">
        <f t="shared" si="40"/>
        <v>112.97312555259312</v>
      </c>
      <c r="BX13" s="18">
        <f t="shared" si="7"/>
        <v>1575</v>
      </c>
      <c r="BY13" s="141">
        <f t="shared" si="41"/>
        <v>4.4110848217180827</v>
      </c>
      <c r="BZ13" s="27">
        <f t="shared" si="8"/>
        <v>16.411084821718084</v>
      </c>
      <c r="CA13" s="32">
        <f t="shared" si="9"/>
        <v>0.26878691260437249</v>
      </c>
      <c r="CB13" s="130">
        <f t="shared" si="10"/>
        <v>0.73121308739562751</v>
      </c>
      <c r="CC13" s="28">
        <f t="shared" si="11"/>
        <v>155.97080140354529</v>
      </c>
      <c r="CD13" s="255">
        <f t="shared" si="12"/>
        <v>18900</v>
      </c>
      <c r="CE13" s="80">
        <f>IF($BA$31="d",'Colony Type'!J40,IF($BA$31="n",'Colony Type'!J68,IF($BA$31="p",'Colony Type'!J96,IF($BA$31="a",'Colony Type'!J124,IF($BA$31="b",'Colony Type'!J152,IF($BA$31="c",'Colony Type'!J180,IF($BA$31="r",'Colony Type'!J208,IF($BA$31="s",'Colony Type'!J208,IF($BA$31="f",'Colony Type'!J264,"error")))))))))</f>
        <v>0.1</v>
      </c>
      <c r="CF13" s="106">
        <f t="shared" si="42"/>
        <v>6.4000000000000001E-2</v>
      </c>
      <c r="CG13" s="75">
        <f t="shared" si="43"/>
        <v>0.32</v>
      </c>
      <c r="CH13" s="102">
        <f t="shared" si="44"/>
        <v>0.23398818796660081</v>
      </c>
      <c r="CI13" s="72">
        <f t="shared" si="13"/>
        <v>49.910656449134493</v>
      </c>
      <c r="CJ13" s="73">
        <f t="shared" si="45"/>
        <v>4.1262116773424673E-2</v>
      </c>
      <c r="CK13" s="356">
        <f t="shared" si="46"/>
        <v>4.0422424397035139E-2</v>
      </c>
      <c r="CL13" s="357">
        <f t="shared" si="47"/>
        <v>1.0207729345509302</v>
      </c>
      <c r="CM13" s="73">
        <f t="shared" si="14"/>
        <v>19.411084821718084</v>
      </c>
      <c r="CN13" s="355">
        <v>1</v>
      </c>
      <c r="CO13" s="84">
        <f t="shared" si="15"/>
        <v>4.2749999999999995</v>
      </c>
      <c r="CP13" s="78">
        <f t="shared" si="48"/>
        <v>9.8493837450082944E-2</v>
      </c>
      <c r="CQ13" s="103">
        <f t="shared" si="49"/>
        <v>0.4972248994290267</v>
      </c>
      <c r="CR13" s="71">
        <f t="shared" si="50"/>
        <v>17690.399999999998</v>
      </c>
      <c r="CS13" s="71">
        <f t="shared" si="16"/>
        <v>106.0601449544108</v>
      </c>
      <c r="CT13" s="74">
        <f t="shared" si="17"/>
        <v>5.9953503004121344E-3</v>
      </c>
      <c r="CU13" s="353">
        <f t="shared" si="51"/>
        <v>5.9774140504017526E-3</v>
      </c>
      <c r="CV13" s="355">
        <f t="shared" si="52"/>
        <v>1.002832900141676</v>
      </c>
      <c r="CW13" s="76">
        <f t="shared" si="18"/>
        <v>0.67999999999999994</v>
      </c>
      <c r="CX13" s="74">
        <f t="shared" si="19"/>
        <v>16.411084821718084</v>
      </c>
      <c r="CY13" s="354">
        <v>1</v>
      </c>
      <c r="CZ13" s="83">
        <f t="shared" si="53"/>
        <v>2.2586249999999999</v>
      </c>
      <c r="DA13" s="79">
        <f t="shared" si="20"/>
        <v>6.518049768398862E-2</v>
      </c>
      <c r="DB13" s="112">
        <f t="shared" si="21"/>
        <v>5.5455760956476988E-2</v>
      </c>
      <c r="DC13" s="55">
        <f t="shared" si="22"/>
        <v>-6.0180723255630212E-3</v>
      </c>
      <c r="DD13" s="133">
        <f t="shared" si="23"/>
        <v>4.9437688630913967E-2</v>
      </c>
      <c r="DE13" s="467">
        <f t="shared" si="54"/>
        <v>110.6065833352871</v>
      </c>
      <c r="DF13" s="378">
        <f t="shared" si="69"/>
        <v>213.30417096207731</v>
      </c>
      <c r="DG13" s="240">
        <f t="shared" si="24"/>
        <v>149.3129196734541</v>
      </c>
      <c r="DH13" s="240">
        <f t="shared" si="70"/>
        <v>83.525074419411709</v>
      </c>
      <c r="DJ13" s="17">
        <f t="shared" si="25"/>
        <v>323.91075429736441</v>
      </c>
      <c r="DK13" s="266">
        <f t="shared" si="55"/>
        <v>28.329675306644731</v>
      </c>
      <c r="DL13" s="135">
        <f t="shared" si="26"/>
        <v>295.58107899071967</v>
      </c>
      <c r="DM13" s="244">
        <f>'Mite Immigration'!C21</f>
        <v>0</v>
      </c>
      <c r="DN13" s="137">
        <f t="shared" si="56"/>
        <v>-16.656751595738239</v>
      </c>
      <c r="DO13" s="98">
        <f t="shared" si="64"/>
        <v>-16.656751595738239</v>
      </c>
      <c r="DP13" s="265">
        <f t="shared" si="27"/>
        <v>278.92432739498145</v>
      </c>
      <c r="DQ13" s="393">
        <f>ET$32</f>
        <v>0</v>
      </c>
      <c r="DR13" s="135">
        <f t="shared" si="57"/>
        <v>0</v>
      </c>
      <c r="DS13" s="95">
        <f t="shared" si="28"/>
        <v>278.92432739498145</v>
      </c>
      <c r="DT13" s="29">
        <f t="shared" si="29"/>
        <v>1.763647149574956E-2</v>
      </c>
      <c r="DU13" s="271">
        <f t="shared" si="30"/>
        <v>40678</v>
      </c>
      <c r="DV13" s="89">
        <f t="shared" si="31"/>
        <v>57.333369558531999</v>
      </c>
      <c r="DW13" s="29">
        <f t="shared" si="32"/>
        <v>2.0476203413761426E-3</v>
      </c>
      <c r="DX13" s="145">
        <f t="shared" si="33"/>
        <v>0.64500040753348498</v>
      </c>
      <c r="DY13" t="str">
        <f t="shared" si="65"/>
        <v/>
      </c>
      <c r="DZ13" t="str">
        <f t="shared" si="66"/>
        <v/>
      </c>
      <c r="EB13">
        <f t="shared" si="68"/>
        <v>0</v>
      </c>
      <c r="EC13" s="17">
        <f t="shared" si="58"/>
        <v>21557.8125</v>
      </c>
      <c r="ED13" s="18">
        <f t="shared" si="59"/>
        <v>8000</v>
      </c>
      <c r="EE13" s="264">
        <f t="shared" si="60"/>
        <v>13557.8125</v>
      </c>
      <c r="EF13" s="264">
        <f t="shared" si="67"/>
        <v>891.47260273972597</v>
      </c>
      <c r="EG13" s="104">
        <f t="shared" si="61"/>
        <v>0.6</v>
      </c>
      <c r="EH13" s="263">
        <f t="shared" si="62"/>
        <v>16.656751595738239</v>
      </c>
      <c r="EJ13" s="17">
        <f t="shared" si="63"/>
        <v>110.6065833352871</v>
      </c>
      <c r="EK13" s="164">
        <f>ET$57</f>
        <v>99.555151340160364</v>
      </c>
      <c r="EL13" s="37">
        <f>ES$59</f>
        <v>0.33782673257184442</v>
      </c>
      <c r="EP13" s="2">
        <v>40678</v>
      </c>
      <c r="EQ13" s="259">
        <v>43054</v>
      </c>
      <c r="ES13" s="249">
        <v>0.57999999999999996</v>
      </c>
      <c r="ET13">
        <v>10.08</v>
      </c>
      <c r="EU13" s="18"/>
      <c r="EV13" s="18"/>
    </row>
    <row r="14" spans="1:176" x14ac:dyDescent="0.4">
      <c r="A14" s="54"/>
      <c r="B14" s="401"/>
      <c r="AD14" s="481"/>
      <c r="AE14" s="486">
        <f t="shared" si="34"/>
        <v>40695</v>
      </c>
      <c r="AF14" s="398"/>
      <c r="BA14" s="406">
        <f t="shared" si="35"/>
        <v>40695</v>
      </c>
      <c r="BB14" s="59">
        <f t="shared" si="0"/>
        <v>278.92432739498145</v>
      </c>
      <c r="BC14" s="301">
        <f t="shared" si="36"/>
        <v>1.8896384496570499E-2</v>
      </c>
      <c r="BD14" s="233">
        <f t="shared" si="1"/>
        <v>2</v>
      </c>
      <c r="BE14" s="123">
        <f t="shared" si="37"/>
        <v>0.69264102899845126</v>
      </c>
      <c r="BF14" s="4">
        <f t="shared" si="2"/>
        <v>7.6427597856171259E-3</v>
      </c>
      <c r="BG14" s="3">
        <f t="shared" si="3"/>
        <v>0.31533433172433362</v>
      </c>
      <c r="BH14" s="498"/>
      <c r="BI14" s="496"/>
      <c r="BJ14" s="496"/>
      <c r="BK14" s="496"/>
      <c r="BL14" s="496"/>
      <c r="BM14" s="496"/>
      <c r="BP14" s="271">
        <f t="shared" si="38"/>
        <v>40695</v>
      </c>
      <c r="BQ14" s="457">
        <f>IF($BA$31="d",'Colony Type'!H41,IF($BA$31="n",'Colony Type'!H69,IF($BA$31="p",'Colony Type'!H97,IF($BA$31="a",'Colony Type'!H125,IF($BA$31="b",'Colony Type'!H153,IF($BA$31="c",'Colony Type'!H181,IF($BA$31="r",'Colony Type'!H209,IF($BA$31="s",'Colony Type'!H237,IF($BA$31="f",'Colony Type'!H265,"error")))))))))</f>
        <v>20</v>
      </c>
      <c r="BR14">
        <f t="shared" si="4"/>
        <v>40000</v>
      </c>
      <c r="BS14" s="81">
        <f>IF($BA$31="d",'Colony Type'!F41,IF($BA$31="n",'Colony Type'!F69,IF($BA$31="p",'Colony Type'!F97,IF($BA$31="a",'Colony Type'!F125,IF($BA$31="b",'Colony Type'!F153,IF($BA$31="c",'Colony Type'!F181,IF($BA$31="r",'Colony Type'!F209,IF($BA$31="s",'Colony Type'!F237,IF($BA$31="f",'Colony Type'!F265,"error")))))))))</f>
        <v>8</v>
      </c>
      <c r="BT14" s="17">
        <f t="shared" si="5"/>
        <v>36000</v>
      </c>
      <c r="BU14" s="21">
        <f t="shared" si="6"/>
        <v>0.9</v>
      </c>
      <c r="BV14">
        <f t="shared" si="39"/>
        <v>21600</v>
      </c>
      <c r="BW14" s="18">
        <f t="shared" si="40"/>
        <v>165.08361136932993</v>
      </c>
      <c r="BX14" s="18">
        <f t="shared" si="7"/>
        <v>1800</v>
      </c>
      <c r="BY14" s="141">
        <f t="shared" si="41"/>
        <v>5.5268025782891312</v>
      </c>
      <c r="BZ14" s="27">
        <f t="shared" si="8"/>
        <v>17.526802578289132</v>
      </c>
      <c r="CA14" s="32">
        <f t="shared" si="9"/>
        <v>0.31533433172433362</v>
      </c>
      <c r="CB14" s="130">
        <f t="shared" si="10"/>
        <v>0.68466566827566644</v>
      </c>
      <c r="CC14" s="28">
        <f t="shared" si="11"/>
        <v>190.96991101422574</v>
      </c>
      <c r="CD14" s="255">
        <f t="shared" si="12"/>
        <v>21600</v>
      </c>
      <c r="CE14" s="80">
        <f>IF($BA$31="d",'Colony Type'!J41,IF($BA$31="n",'Colony Type'!J69,IF($BA$31="p",'Colony Type'!J97,IF($BA$31="a",'Colony Type'!J125,IF($BA$31="b",'Colony Type'!J153,IF($BA$31="c",'Colony Type'!J181,IF($BA$31="r",'Colony Type'!J209,IF($BA$31="s",'Colony Type'!J209,IF($BA$31="f",'Colony Type'!J265,"error")))))))))</f>
        <v>0.05</v>
      </c>
      <c r="CF14" s="106">
        <f t="shared" si="42"/>
        <v>3.2000000000000001E-2</v>
      </c>
      <c r="CG14" s="75">
        <f t="shared" si="43"/>
        <v>0.16</v>
      </c>
      <c r="CH14" s="102">
        <f t="shared" si="44"/>
        <v>0.10954650692410663</v>
      </c>
      <c r="CI14" s="72">
        <f t="shared" si="13"/>
        <v>30.555185762276121</v>
      </c>
      <c r="CJ14" s="73">
        <f t="shared" si="45"/>
        <v>4.4205997919959661E-2</v>
      </c>
      <c r="CK14" s="356">
        <f t="shared" si="46"/>
        <v>4.3243152748845048E-2</v>
      </c>
      <c r="CL14" s="357">
        <f t="shared" si="47"/>
        <v>1.0222658411773717</v>
      </c>
      <c r="CM14" s="73">
        <f t="shared" si="14"/>
        <v>20.526802578289132</v>
      </c>
      <c r="CN14" s="355">
        <v>1</v>
      </c>
      <c r="CO14" s="84">
        <f t="shared" si="15"/>
        <v>4.2749999999999995</v>
      </c>
      <c r="CP14" s="78">
        <f t="shared" si="48"/>
        <v>9.8493837450082944E-2</v>
      </c>
      <c r="CQ14" s="103">
        <f t="shared" si="49"/>
        <v>0.57511916135155983</v>
      </c>
      <c r="CR14" s="71">
        <f t="shared" si="50"/>
        <v>20908.8</v>
      </c>
      <c r="CS14" s="71">
        <f t="shared" si="16"/>
        <v>160.41472525194962</v>
      </c>
      <c r="CT14" s="74">
        <f t="shared" si="17"/>
        <v>7.6721153414806027E-3</v>
      </c>
      <c r="CU14" s="353">
        <f t="shared" si="51"/>
        <v>7.6427597856171259E-3</v>
      </c>
      <c r="CV14" s="355">
        <f t="shared" si="52"/>
        <v>1.0037096346115995</v>
      </c>
      <c r="CW14" s="76">
        <f t="shared" si="18"/>
        <v>0.84</v>
      </c>
      <c r="CX14" s="74">
        <f t="shared" si="19"/>
        <v>17.526802578289132</v>
      </c>
      <c r="CY14" s="354">
        <v>1</v>
      </c>
      <c r="CZ14" s="83">
        <f t="shared" si="53"/>
        <v>2.2586249999999999</v>
      </c>
      <c r="DA14" s="79">
        <f t="shared" si="20"/>
        <v>6.518049768398862E-2</v>
      </c>
      <c r="DB14" s="112">
        <f t="shared" si="21"/>
        <v>4.8276209010700163E-2</v>
      </c>
      <c r="DC14" s="55">
        <f t="shared" si="22"/>
        <v>-6.0180723255630212E-3</v>
      </c>
      <c r="DD14" s="133">
        <f t="shared" si="23"/>
        <v>4.2258136685137143E-2</v>
      </c>
      <c r="DE14" s="467">
        <f t="shared" si="54"/>
        <v>140.12367261658585</v>
      </c>
      <c r="DF14" s="378">
        <f t="shared" si="69"/>
        <v>278.92432739498145</v>
      </c>
      <c r="DG14" s="240">
        <f t="shared" si="24"/>
        <v>195.24702917648699</v>
      </c>
      <c r="DH14" s="240">
        <f t="shared" si="70"/>
        <v>129.28736326543481</v>
      </c>
      <c r="DJ14" s="17">
        <f t="shared" si="25"/>
        <v>419.0480000115673</v>
      </c>
      <c r="DK14" s="266">
        <f t="shared" si="55"/>
        <v>36.650508267249506</v>
      </c>
      <c r="DL14" s="135">
        <f t="shared" si="26"/>
        <v>382.39749174431779</v>
      </c>
      <c r="DM14" s="244">
        <f>'Mite Immigration'!C22</f>
        <v>2</v>
      </c>
      <c r="DN14" s="137">
        <f t="shared" si="56"/>
        <v>-12.609777304712875</v>
      </c>
      <c r="DO14" s="98">
        <f t="shared" si="64"/>
        <v>-10.609777304712875</v>
      </c>
      <c r="DP14" s="265">
        <f t="shared" si="27"/>
        <v>371.78771443960494</v>
      </c>
      <c r="DQ14" s="393">
        <f>EU$32</f>
        <v>0</v>
      </c>
      <c r="DR14" s="135">
        <f t="shared" si="57"/>
        <v>0</v>
      </c>
      <c r="DS14" s="95">
        <f t="shared" si="28"/>
        <v>371.78771443960494</v>
      </c>
      <c r="DT14" s="29">
        <f t="shared" si="29"/>
        <v>1.8896384496570499E-2</v>
      </c>
      <c r="DU14" s="271">
        <f t="shared" si="30"/>
        <v>40695</v>
      </c>
      <c r="DV14" s="89">
        <f t="shared" si="31"/>
        <v>87.954416380755717</v>
      </c>
      <c r="DW14" s="29">
        <f t="shared" si="32"/>
        <v>2.1988604095188927E-3</v>
      </c>
      <c r="DX14" s="145">
        <f t="shared" si="33"/>
        <v>0.69264102899845126</v>
      </c>
      <c r="DY14" t="str">
        <f t="shared" si="65"/>
        <v/>
      </c>
      <c r="DZ14" t="str">
        <f t="shared" si="66"/>
        <v/>
      </c>
      <c r="EB14">
        <f t="shared" si="68"/>
        <v>0</v>
      </c>
      <c r="EC14" s="17">
        <f t="shared" si="58"/>
        <v>21557.8125</v>
      </c>
      <c r="ED14" s="18">
        <f t="shared" si="59"/>
        <v>12000</v>
      </c>
      <c r="EE14" s="264">
        <f t="shared" si="60"/>
        <v>9557.8125</v>
      </c>
      <c r="EF14" s="264">
        <f t="shared" si="67"/>
        <v>628.45890410958907</v>
      </c>
      <c r="EG14" s="104">
        <f t="shared" si="61"/>
        <v>0.6</v>
      </c>
      <c r="EH14" s="263">
        <f t="shared" si="62"/>
        <v>12.609777304712875</v>
      </c>
      <c r="EJ14" s="17">
        <f t="shared" si="63"/>
        <v>140.12367261658585</v>
      </c>
      <c r="EK14" s="164">
        <f>EU$57</f>
        <v>130.07321392419124</v>
      </c>
      <c r="EL14" s="37">
        <f>ET$59</f>
        <v>0.2894745037768599</v>
      </c>
      <c r="EP14" s="2">
        <v>40695</v>
      </c>
      <c r="EQ14" s="259">
        <v>43070</v>
      </c>
      <c r="ES14" s="249">
        <v>0.56999999999999995</v>
      </c>
      <c r="EU14" s="18"/>
      <c r="EV14" s="18"/>
    </row>
    <row r="15" spans="1:176" ht="12.75" customHeight="1" x14ac:dyDescent="0.4">
      <c r="A15" s="54"/>
      <c r="B15" s="401"/>
      <c r="AD15" s="481"/>
      <c r="AE15" s="486">
        <f t="shared" si="34"/>
        <v>40709</v>
      </c>
      <c r="AF15" s="398"/>
      <c r="BA15" s="406">
        <f t="shared" si="35"/>
        <v>40709</v>
      </c>
      <c r="BB15" s="59">
        <f t="shared" si="0"/>
        <v>371.78771443960494</v>
      </c>
      <c r="BC15" s="301">
        <f t="shared" si="36"/>
        <v>1.7563259467535012E-2</v>
      </c>
      <c r="BD15" s="233">
        <f t="shared" si="1"/>
        <v>3</v>
      </c>
      <c r="BE15" s="123">
        <f t="shared" si="37"/>
        <v>0.85196063458294391</v>
      </c>
      <c r="BF15" s="4">
        <f t="shared" si="2"/>
        <v>9.6737273366781507E-3</v>
      </c>
      <c r="BG15" s="3">
        <f t="shared" si="3"/>
        <v>0.34918467675703302</v>
      </c>
      <c r="BH15" s="499" t="s">
        <v>3</v>
      </c>
      <c r="BI15" s="496" t="s">
        <v>4</v>
      </c>
      <c r="BJ15" s="496"/>
      <c r="BK15" s="496"/>
      <c r="BL15" s="496"/>
      <c r="BM15" s="496"/>
      <c r="BP15" s="271">
        <f t="shared" si="38"/>
        <v>40709</v>
      </c>
      <c r="BQ15" s="457">
        <f>IF($BA$31="d",'Colony Type'!H42,IF($BA$31="n",'Colony Type'!H70,IF($BA$31="p",'Colony Type'!H98,IF($BA$31="a",'Colony Type'!H126,IF($BA$31="b",'Colony Type'!H154,IF($BA$31="c",'Colony Type'!H182,IF($BA$31="r",'Colony Type'!H210,IF($BA$31="s",'Colony Type'!H238,IF($BA$31="f",'Colony Type'!H266,"error")))))))))</f>
        <v>24</v>
      </c>
      <c r="BR15">
        <f t="shared" si="4"/>
        <v>48000</v>
      </c>
      <c r="BS15" s="81">
        <f>IF($BA$31="d",'Colony Type'!F42,IF($BA$31="n",'Colony Type'!F70,IF($BA$31="p",'Colony Type'!F98,IF($BA$31="a",'Colony Type'!F126,IF($BA$31="b",'Colony Type'!F154,IF($BA$31="c",'Colony Type'!F182,IF($BA$31="r",'Colony Type'!F210,IF($BA$31="s",'Colony Type'!F238,IF($BA$31="f",'Colony Type'!F266,"error")))))))))</f>
        <v>8</v>
      </c>
      <c r="BT15" s="17">
        <f t="shared" si="5"/>
        <v>36000</v>
      </c>
      <c r="BU15" s="21">
        <f t="shared" si="6"/>
        <v>0.75</v>
      </c>
      <c r="BV15">
        <f t="shared" si="39"/>
        <v>21600</v>
      </c>
      <c r="BW15" s="18">
        <f t="shared" si="40"/>
        <v>208.95251047224806</v>
      </c>
      <c r="BX15" s="18">
        <f t="shared" si="7"/>
        <v>1800</v>
      </c>
      <c r="BY15" s="141">
        <f t="shared" si="41"/>
        <v>6.4384103622589048</v>
      </c>
      <c r="BZ15" s="27">
        <f t="shared" si="8"/>
        <v>18.438410362258907</v>
      </c>
      <c r="CA15" s="32">
        <f t="shared" si="9"/>
        <v>0.34918467675703302</v>
      </c>
      <c r="CB15" s="130">
        <f t="shared" si="10"/>
        <v>0.65081532324296698</v>
      </c>
      <c r="CC15" s="28">
        <f t="shared" si="11"/>
        <v>241.9651415507754</v>
      </c>
      <c r="CD15" s="255">
        <f t="shared" si="12"/>
        <v>21600</v>
      </c>
      <c r="CE15" s="80">
        <f>IF($BA$31="d",'Colony Type'!J42,IF($BA$31="n",'Colony Type'!J70,IF($BA$31="p",'Colony Type'!J98,IF($BA$31="a",'Colony Type'!J126,IF($BA$31="b",'Colony Type'!J154,IF($BA$31="c",'Colony Type'!J182,IF($BA$31="r",'Colony Type'!J210,IF($BA$31="s",'Colony Type'!J210,IF($BA$31="f",'Colony Type'!J266,"error")))))))))</f>
        <v>0.05</v>
      </c>
      <c r="CF15" s="106">
        <f t="shared" si="42"/>
        <v>3.2000000000000001E-2</v>
      </c>
      <c r="CG15" s="75">
        <f t="shared" si="43"/>
        <v>0.16</v>
      </c>
      <c r="CH15" s="102">
        <f t="shared" si="44"/>
        <v>0.10413045171887472</v>
      </c>
      <c r="CI15" s="72">
        <f t="shared" si="13"/>
        <v>38.714422648124064</v>
      </c>
      <c r="CJ15" s="73">
        <f t="shared" si="45"/>
        <v>5.6010449433049857E-2</v>
      </c>
      <c r="CK15" s="356">
        <f t="shared" si="46"/>
        <v>5.4470744405878402E-2</v>
      </c>
      <c r="CL15" s="357">
        <f t="shared" si="47"/>
        <v>1.0282666419188002</v>
      </c>
      <c r="CM15" s="73">
        <f t="shared" si="14"/>
        <v>21.438410362258907</v>
      </c>
      <c r="CN15" s="355">
        <v>1</v>
      </c>
      <c r="CO15" s="84">
        <f t="shared" si="15"/>
        <v>4.2749999999999995</v>
      </c>
      <c r="CP15" s="78">
        <f t="shared" si="48"/>
        <v>9.8493837450082944E-2</v>
      </c>
      <c r="CQ15" s="103">
        <f t="shared" si="49"/>
        <v>0.54668487152409229</v>
      </c>
      <c r="CR15" s="71">
        <f t="shared" si="50"/>
        <v>20908.8</v>
      </c>
      <c r="CS15" s="71">
        <f t="shared" si="16"/>
        <v>203.25071890265133</v>
      </c>
      <c r="CT15" s="74">
        <f t="shared" si="17"/>
        <v>9.7208218024301407E-3</v>
      </c>
      <c r="CU15" s="353">
        <f t="shared" si="51"/>
        <v>9.6737273366781507E-3</v>
      </c>
      <c r="CV15" s="355">
        <f t="shared" si="52"/>
        <v>1.0047644201379444</v>
      </c>
      <c r="CW15" s="76">
        <f t="shared" si="18"/>
        <v>0.84</v>
      </c>
      <c r="CX15" s="74">
        <f t="shared" si="19"/>
        <v>18.438410362258907</v>
      </c>
      <c r="CY15" s="354">
        <v>1</v>
      </c>
      <c r="CZ15" s="83">
        <f t="shared" si="53"/>
        <v>2.2586249999999999</v>
      </c>
      <c r="DA15" s="79">
        <f t="shared" si="20"/>
        <v>6.518049768398862E-2</v>
      </c>
      <c r="DB15" s="112">
        <f t="shared" si="21"/>
        <v>4.5889399787450269E-2</v>
      </c>
      <c r="DC15" s="55">
        <f t="shared" si="22"/>
        <v>-6.0180723255630212E-3</v>
      </c>
      <c r="DD15" s="133">
        <f t="shared" si="23"/>
        <v>3.9871327461887249E-2</v>
      </c>
      <c r="DE15" s="467">
        <f t="shared" si="54"/>
        <v>186.67765534674334</v>
      </c>
      <c r="DF15" s="378">
        <f t="shared" si="69"/>
        <v>371.78771443960494</v>
      </c>
      <c r="DG15" s="240">
        <f t="shared" si="24"/>
        <v>260.25140010772344</v>
      </c>
      <c r="DH15" s="240">
        <f t="shared" si="70"/>
        <v>184.91525520430719</v>
      </c>
      <c r="DJ15" s="17">
        <f t="shared" si="25"/>
        <v>558.46536978634822</v>
      </c>
      <c r="DK15" s="266">
        <f t="shared" si="55"/>
        <v>48.844141128849458</v>
      </c>
      <c r="DL15" s="135">
        <f t="shared" si="26"/>
        <v>509.62122865749876</v>
      </c>
      <c r="DM15" s="244">
        <f>'Mite Immigration'!C23</f>
        <v>3</v>
      </c>
      <c r="DN15" s="137">
        <f t="shared" si="56"/>
        <v>-26.99903820547377</v>
      </c>
      <c r="DO15" s="98">
        <f t="shared" si="64"/>
        <v>-23.99903820547377</v>
      </c>
      <c r="DP15" s="265">
        <f t="shared" si="27"/>
        <v>485.622190452025</v>
      </c>
      <c r="DQ15" s="393">
        <f>EV$32</f>
        <v>0</v>
      </c>
      <c r="DR15" s="135">
        <f t="shared" si="57"/>
        <v>0</v>
      </c>
      <c r="DS15" s="95">
        <f t="shared" si="28"/>
        <v>485.622190452025</v>
      </c>
      <c r="DT15" s="29">
        <f t="shared" si="29"/>
        <v>1.7563259467535012E-2</v>
      </c>
      <c r="DU15" s="271">
        <f t="shared" si="30"/>
        <v>40709</v>
      </c>
      <c r="DV15" s="89">
        <f t="shared" si="31"/>
        <v>129.82257288882954</v>
      </c>
      <c r="DW15" s="29">
        <f t="shared" si="32"/>
        <v>2.7046369351839488E-3</v>
      </c>
      <c r="DX15" s="145">
        <f t="shared" si="33"/>
        <v>0.85196063458294391</v>
      </c>
      <c r="DY15" t="str">
        <f t="shared" si="65"/>
        <v/>
      </c>
      <c r="DZ15" t="str">
        <f t="shared" si="66"/>
        <v/>
      </c>
      <c r="EB15">
        <f t="shared" si="68"/>
        <v>0</v>
      </c>
      <c r="EC15" s="17">
        <f t="shared" si="58"/>
        <v>24637.5</v>
      </c>
      <c r="ED15" s="18">
        <f t="shared" si="59"/>
        <v>8000</v>
      </c>
      <c r="EE15" s="264">
        <f t="shared" si="60"/>
        <v>16637.5</v>
      </c>
      <c r="EF15" s="264">
        <f t="shared" si="67"/>
        <v>1093.972602739726</v>
      </c>
      <c r="EG15" s="104">
        <f t="shared" si="61"/>
        <v>0.6</v>
      </c>
      <c r="EH15" s="263">
        <f t="shared" si="62"/>
        <v>26.99903820547377</v>
      </c>
      <c r="EJ15" s="17">
        <f t="shared" si="63"/>
        <v>186.67765534674334</v>
      </c>
      <c r="EK15" s="164">
        <f>EV$57</f>
        <v>118.84574492165999</v>
      </c>
      <c r="EL15" s="37">
        <f>EU$59</f>
        <v>0.28628115698246054</v>
      </c>
      <c r="EP15" s="2">
        <v>40709</v>
      </c>
      <c r="EQ15" s="259">
        <v>43084</v>
      </c>
      <c r="ES15" s="249">
        <v>0.55000000000000004</v>
      </c>
      <c r="ET15">
        <v>5.9849999999999994</v>
      </c>
      <c r="EU15" s="18"/>
      <c r="EV15" s="18"/>
    </row>
    <row r="16" spans="1:176" x14ac:dyDescent="0.4">
      <c r="A16" s="54"/>
      <c r="B16" s="401"/>
      <c r="AD16" s="481"/>
      <c r="AE16" s="486">
        <f t="shared" si="34"/>
        <v>40725</v>
      </c>
      <c r="AF16" s="398"/>
      <c r="BA16" s="406">
        <f t="shared" si="35"/>
        <v>40725</v>
      </c>
      <c r="BB16" s="59">
        <f t="shared" si="0"/>
        <v>485.622190452025</v>
      </c>
      <c r="BC16" s="301">
        <f t="shared" si="36"/>
        <v>1.3596104026539475E-2</v>
      </c>
      <c r="BD16" s="233">
        <f t="shared" si="1"/>
        <v>5</v>
      </c>
      <c r="BE16" s="123">
        <f t="shared" si="37"/>
        <v>1.2008148545895607</v>
      </c>
      <c r="BF16" s="4">
        <f t="shared" si="2"/>
        <v>1.5276563666734355E-2</v>
      </c>
      <c r="BG16" s="3">
        <f t="shared" si="3"/>
        <v>0.40819747876224383</v>
      </c>
      <c r="BH16" s="498"/>
      <c r="BI16" s="496"/>
      <c r="BJ16" s="496"/>
      <c r="BK16" s="496"/>
      <c r="BL16" s="496"/>
      <c r="BM16" s="496"/>
      <c r="BP16" s="271">
        <f t="shared" si="38"/>
        <v>40725</v>
      </c>
      <c r="BQ16" s="457">
        <f>IF($BA$31="d",'Colony Type'!H43,IF($BA$31="n",'Colony Type'!H71,IF($BA$31="p",'Colony Type'!H99,IF($BA$31="a",'Colony Type'!H127,IF($BA$31="b",'Colony Type'!H155,IF($BA$31="c",'Colony Type'!H183,IF($BA$31="r",'Colony Type'!H211,IF($BA$31="s",'Colony Type'!H239,IF($BA$31="f",'Colony Type'!H267,"error")))))))))</f>
        <v>26</v>
      </c>
      <c r="BR16">
        <f t="shared" si="4"/>
        <v>52000</v>
      </c>
      <c r="BS16" s="81">
        <f>IF($BA$31="d",'Colony Type'!F43,IF($BA$31="n",'Colony Type'!F71,IF($BA$31="p",'Colony Type'!F99,IF($BA$31="a",'Colony Type'!F127,IF($BA$31="b",'Colony Type'!F155,IF($BA$31="c",'Colony Type'!F183,IF($BA$31="r",'Colony Type'!F211,IF($BA$31="s",'Colony Type'!F239,IF($BA$31="f",'Colony Type'!F267,"error")))))))))</f>
        <v>6</v>
      </c>
      <c r="BT16" s="17">
        <f t="shared" si="5"/>
        <v>27000</v>
      </c>
      <c r="BU16" s="21">
        <f t="shared" si="6"/>
        <v>0.51923076923076927</v>
      </c>
      <c r="BV16">
        <f t="shared" si="39"/>
        <v>16200</v>
      </c>
      <c r="BW16" s="18">
        <f t="shared" si="40"/>
        <v>247.48033140109655</v>
      </c>
      <c r="BX16" s="128">
        <f t="shared" si="7"/>
        <v>1350</v>
      </c>
      <c r="BY16" s="141">
        <f t="shared" si="41"/>
        <v>8.2770342628854898</v>
      </c>
      <c r="BZ16" s="27">
        <f t="shared" si="8"/>
        <v>20.27703426288549</v>
      </c>
      <c r="CA16" s="32">
        <f t="shared" si="9"/>
        <v>0.40819747876224383</v>
      </c>
      <c r="CB16" s="130">
        <f t="shared" si="10"/>
        <v>0.59180252123775623</v>
      </c>
      <c r="CC16" s="28">
        <f t="shared" si="11"/>
        <v>287.39243667851025</v>
      </c>
      <c r="CD16" s="255">
        <f t="shared" si="12"/>
        <v>16200</v>
      </c>
      <c r="CE16" s="80">
        <f>IF($BA$31="d",'Colony Type'!J43,IF($BA$31="n",'Colony Type'!J71,IF($BA$31="p",'Colony Type'!J99,IF($BA$31="a",'Colony Type'!J127,IF($BA$31="b",'Colony Type'!J155,IF($BA$31="c",'Colony Type'!J183,IF($BA$31="r",'Colony Type'!J211,IF($BA$31="s",'Colony Type'!J211,IF($BA$31="f",'Colony Type'!J267,"error")))))))))</f>
        <v>0.05</v>
      </c>
      <c r="CF16" s="106">
        <f t="shared" si="42"/>
        <v>3.2000000000000001E-2</v>
      </c>
      <c r="CG16" s="75">
        <f t="shared" si="43"/>
        <v>0.16</v>
      </c>
      <c r="CH16" s="102">
        <f t="shared" si="44"/>
        <v>9.4688403398040993E-2</v>
      </c>
      <c r="CI16" s="72">
        <f t="shared" si="13"/>
        <v>45.982789868561639</v>
      </c>
      <c r="CJ16" s="73">
        <f t="shared" si="45"/>
        <v>8.8701369345219216E-2</v>
      </c>
      <c r="CK16" s="356">
        <f t="shared" si="46"/>
        <v>8.4881184695740464E-2</v>
      </c>
      <c r="CL16" s="357">
        <f t="shared" si="47"/>
        <v>1.0450062597873997</v>
      </c>
      <c r="CM16" s="73">
        <f t="shared" si="14"/>
        <v>23.27703426288549</v>
      </c>
      <c r="CN16" s="355">
        <v>1</v>
      </c>
      <c r="CO16" s="84">
        <f t="shared" si="15"/>
        <v>4.2749999999999995</v>
      </c>
      <c r="CP16" s="78">
        <f t="shared" si="48"/>
        <v>9.8493837450082944E-2</v>
      </c>
      <c r="CQ16" s="103">
        <f t="shared" si="49"/>
        <v>0.49711411783971526</v>
      </c>
      <c r="CR16" s="71">
        <f t="shared" si="50"/>
        <v>15681.6</v>
      </c>
      <c r="CS16" s="71">
        <f t="shared" si="16"/>
        <v>241.40964680994861</v>
      </c>
      <c r="CT16" s="74">
        <f t="shared" si="17"/>
        <v>1.5394452530988458E-2</v>
      </c>
      <c r="CU16" s="353">
        <f t="shared" si="51"/>
        <v>1.5276563666734355E-2</v>
      </c>
      <c r="CV16" s="355">
        <f t="shared" si="52"/>
        <v>1.0076510147039097</v>
      </c>
      <c r="CW16" s="76">
        <f t="shared" si="18"/>
        <v>0.84</v>
      </c>
      <c r="CX16" s="74">
        <f t="shared" si="19"/>
        <v>20.27703426288549</v>
      </c>
      <c r="CY16" s="354">
        <v>1</v>
      </c>
      <c r="CZ16" s="83">
        <f t="shared" si="53"/>
        <v>2.2586249999999999</v>
      </c>
      <c r="DA16" s="79">
        <f t="shared" si="20"/>
        <v>6.518049768398862E-2</v>
      </c>
      <c r="DB16" s="112">
        <f t="shared" si="21"/>
        <v>4.1728369819224134E-2</v>
      </c>
      <c r="DC16" s="55">
        <f t="shared" si="22"/>
        <v>-6.0180723255630212E-3</v>
      </c>
      <c r="DD16" s="133">
        <f t="shared" si="23"/>
        <v>3.5710297493661114E-2</v>
      </c>
      <c r="DE16" s="467">
        <f t="shared" si="54"/>
        <v>215.03347080552516</v>
      </c>
      <c r="DF16" s="378">
        <f t="shared" si="69"/>
        <v>485.622190452025</v>
      </c>
      <c r="DG16" s="240">
        <f t="shared" si="24"/>
        <v>339.93553331641749</v>
      </c>
      <c r="DH16" s="240">
        <f t="shared" si="70"/>
        <v>242.61839553914371</v>
      </c>
      <c r="DJ16" s="17">
        <f t="shared" si="25"/>
        <v>700.65566125755015</v>
      </c>
      <c r="DK16" s="266">
        <f t="shared" si="55"/>
        <v>61.280297495051059</v>
      </c>
      <c r="DL16" s="135">
        <f t="shared" si="26"/>
        <v>639.37536376249909</v>
      </c>
      <c r="DM16" s="244">
        <f>'Mite Immigration'!C24</f>
        <v>5</v>
      </c>
      <c r="DN16" s="137">
        <f t="shared" si="56"/>
        <v>-47.203460117318208</v>
      </c>
      <c r="DO16" s="98">
        <f t="shared" si="64"/>
        <v>-42.203460117318208</v>
      </c>
      <c r="DP16" s="265">
        <f t="shared" si="27"/>
        <v>597.17190364518092</v>
      </c>
      <c r="DQ16" s="393">
        <f>EW$32</f>
        <v>0</v>
      </c>
      <c r="DR16" s="135">
        <f t="shared" si="57"/>
        <v>0</v>
      </c>
      <c r="DS16" s="95">
        <f t="shared" si="28"/>
        <v>597.17190364518092</v>
      </c>
      <c r="DT16" s="29">
        <f t="shared" si="29"/>
        <v>1.3596104026539475E-2</v>
      </c>
      <c r="DU16" s="271">
        <f t="shared" si="30"/>
        <v>40725</v>
      </c>
      <c r="DV16" s="89">
        <f t="shared" si="31"/>
        <v>198.2297537735148</v>
      </c>
      <c r="DW16" s="29">
        <f t="shared" si="32"/>
        <v>3.8121106494906692E-3</v>
      </c>
      <c r="DX16" s="145">
        <f t="shared" si="33"/>
        <v>1.2008148545895607</v>
      </c>
      <c r="DY16" t="str">
        <f t="shared" si="65"/>
        <v/>
      </c>
      <c r="DZ16" t="str">
        <f t="shared" si="66"/>
        <v/>
      </c>
      <c r="EB16">
        <f t="shared" si="68"/>
        <v>0</v>
      </c>
      <c r="EC16" s="17">
        <f t="shared" si="58"/>
        <v>24637.5</v>
      </c>
      <c r="ED16" s="18">
        <f t="shared" si="59"/>
        <v>4000</v>
      </c>
      <c r="EE16" s="264">
        <f t="shared" si="60"/>
        <v>20637.5</v>
      </c>
      <c r="EF16" s="264">
        <f t="shared" si="67"/>
        <v>1356.986301369863</v>
      </c>
      <c r="EG16" s="104">
        <f t="shared" si="61"/>
        <v>0.6</v>
      </c>
      <c r="EH16" s="263">
        <f t="shared" si="62"/>
        <v>47.203460117318208</v>
      </c>
      <c r="EJ16" s="17">
        <f t="shared" si="63"/>
        <v>215.03347080552516</v>
      </c>
      <c r="EK16" s="164">
        <f>EW$57</f>
        <v>108.58739212991344</v>
      </c>
      <c r="EL16" s="37">
        <f>EV$59</f>
        <v>0.19747915957131915</v>
      </c>
      <c r="EP16" s="2">
        <v>40725</v>
      </c>
      <c r="EQ16" s="259">
        <v>43101</v>
      </c>
      <c r="ES16" s="249">
        <v>0.55000000000000004</v>
      </c>
      <c r="EU16" s="18"/>
      <c r="EV16" s="18"/>
    </row>
    <row r="17" spans="1:164" ht="12.75" customHeight="1" x14ac:dyDescent="0.4">
      <c r="A17" s="54"/>
      <c r="B17" s="401"/>
      <c r="AD17" s="481"/>
      <c r="AE17" s="486">
        <f t="shared" si="34"/>
        <v>40739</v>
      </c>
      <c r="AF17" s="383"/>
      <c r="BA17" s="406">
        <f t="shared" si="35"/>
        <v>40739</v>
      </c>
      <c r="BB17" s="59">
        <f t="shared" si="0"/>
        <v>597.17190364518092</v>
      </c>
      <c r="BC17" s="301">
        <f t="shared" si="36"/>
        <v>1.5463387604995457E-2</v>
      </c>
      <c r="BD17" s="233">
        <f t="shared" si="1"/>
        <v>10</v>
      </c>
      <c r="BE17" s="123">
        <f t="shared" si="37"/>
        <v>1.5687537818553432</v>
      </c>
      <c r="BF17" s="4">
        <f t="shared" si="2"/>
        <v>2.1504806974071755E-2</v>
      </c>
      <c r="BG17" s="3">
        <f t="shared" si="3"/>
        <v>0.43365884545767797</v>
      </c>
      <c r="BH17" s="499">
        <v>25</v>
      </c>
      <c r="BI17" s="496" t="s">
        <v>313</v>
      </c>
      <c r="BJ17" s="496"/>
      <c r="BK17" s="496"/>
      <c r="BL17" s="496"/>
      <c r="BM17" s="496"/>
      <c r="BP17" s="271">
        <f t="shared" si="38"/>
        <v>40739</v>
      </c>
      <c r="BQ17" s="457">
        <f>IF($BA$31="d",'Colony Type'!H44,IF($BA$31="n",'Colony Type'!H72,IF($BA$31="p",'Colony Type'!H100,IF($BA$31="a",'Colony Type'!H128,IF($BA$31="b",'Colony Type'!H156,IF($BA$31="c",'Colony Type'!H184,IF($BA$31="r",'Colony Type'!H212,IF($BA$31="s",'Colony Type'!H240,IF($BA$31="f",'Colony Type'!H268,"error")))))))))</f>
        <v>26</v>
      </c>
      <c r="BR17">
        <f t="shared" si="4"/>
        <v>52000</v>
      </c>
      <c r="BS17" s="81">
        <f>IF($BA$31="d",'Colony Type'!F44,IF($BA$31="n",'Colony Type'!F72,IF($BA$31="p",'Colony Type'!F100,IF($BA$31="a",'Colony Type'!F128,IF($BA$31="b",'Colony Type'!F156,IF($BA$31="c",'Colony Type'!F184,IF($BA$31="r",'Colony Type'!F212,IF($BA$31="s",'Colony Type'!F240,IF($BA$31="f",'Colony Type'!F268,"error")))))))))</f>
        <v>5</v>
      </c>
      <c r="BT17" s="17">
        <f t="shared" si="5"/>
        <v>22500</v>
      </c>
      <c r="BU17" s="21">
        <f t="shared" si="6"/>
        <v>0.43269230769230771</v>
      </c>
      <c r="BV17">
        <f t="shared" si="39"/>
        <v>13500</v>
      </c>
      <c r="BW17" s="18">
        <f t="shared" si="40"/>
        <v>290.31489414996872</v>
      </c>
      <c r="BX17" s="128">
        <f t="shared" si="7"/>
        <v>1125</v>
      </c>
      <c r="BY17" s="141">
        <f t="shared" si="41"/>
        <v>9.1886420468552643</v>
      </c>
      <c r="BZ17" s="27">
        <f t="shared" si="8"/>
        <v>21.188642046855264</v>
      </c>
      <c r="CA17" s="32">
        <f t="shared" si="9"/>
        <v>0.43365884545767797</v>
      </c>
      <c r="CB17" s="130">
        <f t="shared" si="10"/>
        <v>0.56634115454232203</v>
      </c>
      <c r="CC17" s="28">
        <f t="shared" si="11"/>
        <v>338.20302537064805</v>
      </c>
      <c r="CD17" s="255">
        <f t="shared" si="12"/>
        <v>13500</v>
      </c>
      <c r="CE17" s="80">
        <f>IF($BA$31="d",'Colony Type'!J44,IF($BA$31="n",'Colony Type'!J72,IF($BA$31="p",'Colony Type'!J100,IF($BA$31="a",'Colony Type'!J128,IF($BA$31="b",'Colony Type'!J156,IF($BA$31="c",'Colony Type'!J184,IF($BA$31="r",'Colony Type'!J212,IF($BA$31="s",'Colony Type'!J212,IF($BA$31="f",'Colony Type'!J268,"error")))))))))</f>
        <v>0.05</v>
      </c>
      <c r="CF17" s="106">
        <f t="shared" si="42"/>
        <v>3.2000000000000001E-2</v>
      </c>
      <c r="CG17" s="75">
        <f t="shared" si="43"/>
        <v>0.16</v>
      </c>
      <c r="CH17" s="102">
        <f t="shared" si="44"/>
        <v>9.061458472677153E-2</v>
      </c>
      <c r="CI17" s="72">
        <f t="shared" si="13"/>
        <v>54.112484059303689</v>
      </c>
      <c r="CJ17" s="73">
        <f t="shared" si="45"/>
        <v>0.12526037976690668</v>
      </c>
      <c r="CK17" s="356">
        <f t="shared" si="46"/>
        <v>0.11773285184019555</v>
      </c>
      <c r="CL17" s="357">
        <f t="shared" si="47"/>
        <v>1.0639373616544057</v>
      </c>
      <c r="CM17" s="73">
        <f t="shared" si="14"/>
        <v>24.188642046855264</v>
      </c>
      <c r="CN17" s="355">
        <v>1</v>
      </c>
      <c r="CO17" s="84">
        <f t="shared" si="15"/>
        <v>4.2749999999999995</v>
      </c>
      <c r="CP17" s="78">
        <f t="shared" si="48"/>
        <v>9.8493837450082944E-2</v>
      </c>
      <c r="CQ17" s="103">
        <f t="shared" si="49"/>
        <v>0.4757265698155505</v>
      </c>
      <c r="CR17" s="71">
        <f t="shared" si="50"/>
        <v>13068</v>
      </c>
      <c r="CS17" s="71">
        <f t="shared" si="16"/>
        <v>284.09054131134434</v>
      </c>
      <c r="CT17" s="74">
        <f t="shared" si="17"/>
        <v>2.1739404752934215E-2</v>
      </c>
      <c r="CU17" s="353">
        <f t="shared" si="51"/>
        <v>2.1504806974071755E-2</v>
      </c>
      <c r="CV17" s="355">
        <f t="shared" si="52"/>
        <v>1.0108620792116332</v>
      </c>
      <c r="CW17" s="76">
        <f t="shared" si="18"/>
        <v>0.84</v>
      </c>
      <c r="CX17" s="74">
        <f t="shared" si="19"/>
        <v>21.188642046855264</v>
      </c>
      <c r="CY17" s="354">
        <v>1</v>
      </c>
      <c r="CZ17" s="83">
        <f t="shared" si="53"/>
        <v>2.2586249999999999</v>
      </c>
      <c r="DA17" s="79">
        <f t="shared" si="20"/>
        <v>6.518049768398862E-2</v>
      </c>
      <c r="DB17" s="112">
        <f t="shared" si="21"/>
        <v>3.9933072760759747E-2</v>
      </c>
      <c r="DC17" s="55">
        <f t="shared" si="22"/>
        <v>-6.0180723255630212E-3</v>
      </c>
      <c r="DD17" s="133">
        <f t="shared" si="23"/>
        <v>3.3915000435196727E-2</v>
      </c>
      <c r="DE17" s="467">
        <f t="shared" si="54"/>
        <v>280.28432073623651</v>
      </c>
      <c r="DF17" s="378">
        <f t="shared" si="69"/>
        <v>597.17190364518092</v>
      </c>
      <c r="DG17" s="240">
        <f t="shared" si="24"/>
        <v>418.02033255162661</v>
      </c>
      <c r="DH17" s="240">
        <f t="shared" si="70"/>
        <v>335.47002859560803</v>
      </c>
      <c r="DJ17" s="17">
        <f t="shared" si="25"/>
        <v>877.45622438141743</v>
      </c>
      <c r="DK17" s="266">
        <f t="shared" si="55"/>
        <v>76.743515313169269</v>
      </c>
      <c r="DL17" s="135">
        <f t="shared" si="26"/>
        <v>800.71270906824816</v>
      </c>
      <c r="DM17" s="244">
        <f>'Mite Immigration'!C25</f>
        <v>10</v>
      </c>
      <c r="DN17" s="137">
        <f t="shared" si="56"/>
        <v>-55.214530429230031</v>
      </c>
      <c r="DO17" s="98">
        <f t="shared" si="64"/>
        <v>-45.214530429230031</v>
      </c>
      <c r="DP17" s="265">
        <f t="shared" si="27"/>
        <v>755.49817863901808</v>
      </c>
      <c r="DQ17" s="393">
        <f>EX$32</f>
        <v>0</v>
      </c>
      <c r="DR17" s="135">
        <f t="shared" si="57"/>
        <v>0</v>
      </c>
      <c r="DS17" s="95">
        <f t="shared" si="28"/>
        <v>755.49817863901808</v>
      </c>
      <c r="DT17" s="29">
        <f t="shared" si="29"/>
        <v>1.5463387604995457E-2</v>
      </c>
      <c r="DU17" s="271">
        <f t="shared" si="30"/>
        <v>40739</v>
      </c>
      <c r="DV17" s="89">
        <f t="shared" si="31"/>
        <v>258.96887827453287</v>
      </c>
      <c r="DW17" s="29">
        <f t="shared" si="32"/>
        <v>4.9801707360487089E-3</v>
      </c>
      <c r="DX17" s="145">
        <f t="shared" si="33"/>
        <v>1.5687537818553432</v>
      </c>
      <c r="DY17" t="str">
        <f t="shared" si="65"/>
        <v/>
      </c>
      <c r="DZ17" t="str">
        <f t="shared" si="66"/>
        <v/>
      </c>
      <c r="EB17">
        <f t="shared" si="68"/>
        <v>0</v>
      </c>
      <c r="EC17" s="17">
        <f t="shared" si="58"/>
        <v>18478.125</v>
      </c>
      <c r="ED17" s="18">
        <f t="shared" si="59"/>
        <v>0</v>
      </c>
      <c r="EE17" s="264">
        <f t="shared" si="60"/>
        <v>18478.125</v>
      </c>
      <c r="EF17" s="264">
        <f t="shared" si="67"/>
        <v>1215</v>
      </c>
      <c r="EG17" s="104">
        <f t="shared" si="61"/>
        <v>0.6</v>
      </c>
      <c r="EH17" s="263">
        <f t="shared" si="62"/>
        <v>55.214530429230031</v>
      </c>
      <c r="EJ17" s="17">
        <f t="shared" si="63"/>
        <v>280.28432073623651</v>
      </c>
      <c r="EK17" s="164">
        <f>EX$57</f>
        <v>162.59862228878237</v>
      </c>
      <c r="EL17" s="37">
        <f>EW$59</f>
        <v>0.14196266136694355</v>
      </c>
      <c r="EP17" s="2">
        <v>40739</v>
      </c>
      <c r="EQ17" s="259">
        <v>43115</v>
      </c>
      <c r="ES17" s="249">
        <v>0.56000000000000005</v>
      </c>
      <c r="ET17">
        <v>11.654999999999999</v>
      </c>
      <c r="EU17" s="18"/>
      <c r="EV17" s="18"/>
    </row>
    <row r="18" spans="1:164" ht="12.75" customHeight="1" x14ac:dyDescent="0.4">
      <c r="A18" s="54"/>
      <c r="B18" s="401"/>
      <c r="AD18" s="481"/>
      <c r="AE18" s="486">
        <f t="shared" si="34"/>
        <v>40756</v>
      </c>
      <c r="AF18" s="383"/>
      <c r="BA18" s="406">
        <f t="shared" si="35"/>
        <v>40756</v>
      </c>
      <c r="BB18" s="59">
        <f t="shared" si="0"/>
        <v>755.49817863901808</v>
      </c>
      <c r="BC18" s="301">
        <f t="shared" si="36"/>
        <v>1.6673333066210331E-2</v>
      </c>
      <c r="BD18" s="233">
        <f t="shared" si="1"/>
        <v>15</v>
      </c>
      <c r="BE18" s="123">
        <f t="shared" si="37"/>
        <v>2.1054837282360954</v>
      </c>
      <c r="BF18" s="4">
        <f t="shared" si="2"/>
        <v>2.9641208441981481E-2</v>
      </c>
      <c r="BG18" s="3">
        <f t="shared" si="3"/>
        <v>0.44236210732993247</v>
      </c>
      <c r="BH18" s="498"/>
      <c r="BI18" s="496"/>
      <c r="BJ18" s="496"/>
      <c r="BK18" s="496"/>
      <c r="BL18" s="496"/>
      <c r="BM18" s="496"/>
      <c r="BP18" s="271">
        <f t="shared" si="38"/>
        <v>40756</v>
      </c>
      <c r="BQ18" s="457">
        <f>IF($BA$31="d",'Colony Type'!H45,IF($BA$31="n",'Colony Type'!H73,IF($BA$31="p",'Colony Type'!H101,IF($BA$31="a",'Colony Type'!H129,IF($BA$31="b",'Colony Type'!H157,IF($BA$31="c",'Colony Type'!H185,IF($BA$31="r",'Colony Type'!H213,IF($BA$31="s",'Colony Type'!H241,IF($BA$31="f",'Colony Type'!H269,"error")))))))))</f>
        <v>25</v>
      </c>
      <c r="BR18">
        <f t="shared" si="4"/>
        <v>50000</v>
      </c>
      <c r="BS18" s="81">
        <f>IF($BA$31="d",'Colony Type'!F45,IF($BA$31="n",'Colony Type'!F73,IF($BA$31="p",'Colony Type'!F101,IF($BA$31="a",'Colony Type'!F129,IF($BA$31="b",'Colony Type'!F157,IF($BA$31="c",'Colony Type'!F185,IF($BA$31="r",'Colony Type'!F213,IF($BA$31="s",'Colony Type'!F241,IF($BA$31="f",'Colony Type'!F269,"error")))))))))</f>
        <v>4.5</v>
      </c>
      <c r="BT18" s="17">
        <f t="shared" si="5"/>
        <v>20250</v>
      </c>
      <c r="BU18" s="21">
        <f t="shared" si="6"/>
        <v>0.40500000000000003</v>
      </c>
      <c r="BV18">
        <f t="shared" si="39"/>
        <v>12150</v>
      </c>
      <c r="BW18" s="18">
        <f t="shared" si="40"/>
        <v>360.140682570075</v>
      </c>
      <c r="BX18" s="18">
        <f t="shared" si="7"/>
        <v>1012.5</v>
      </c>
      <c r="BY18" s="141">
        <f t="shared" si="41"/>
        <v>9.5193410593779895</v>
      </c>
      <c r="BZ18" s="27">
        <f t="shared" si="8"/>
        <v>21.519341059377989</v>
      </c>
      <c r="CA18" s="32">
        <f t="shared" si="9"/>
        <v>0.44236210732993247</v>
      </c>
      <c r="CB18" s="130">
        <f t="shared" si="10"/>
        <v>0.55763789267006758</v>
      </c>
      <c r="CC18" s="28">
        <f t="shared" si="11"/>
        <v>421.29441225233631</v>
      </c>
      <c r="CD18" s="255">
        <f t="shared" si="12"/>
        <v>12150</v>
      </c>
      <c r="CE18" s="80">
        <f>IF($BA$31="d",'Colony Type'!J45,IF($BA$31="n",'Colony Type'!J73,IF($BA$31="p",'Colony Type'!J101,IF($BA$31="a",'Colony Type'!J129,IF($BA$31="b",'Colony Type'!J157,IF($BA$31="c",'Colony Type'!J185,IF($BA$31="r",'Colony Type'!J213,IF($BA$31="s",'Colony Type'!J213,IF($BA$31="f",'Colony Type'!J269,"error")))))))))</f>
        <v>0.05</v>
      </c>
      <c r="CF18" s="106">
        <f t="shared" si="42"/>
        <v>3.2000000000000001E-2</v>
      </c>
      <c r="CG18" s="75">
        <f t="shared" si="43"/>
        <v>0.16</v>
      </c>
      <c r="CH18" s="102">
        <f t="shared" si="44"/>
        <v>8.9222062827210818E-2</v>
      </c>
      <c r="CI18" s="72">
        <f t="shared" si="13"/>
        <v>67.407105960373812</v>
      </c>
      <c r="CJ18" s="73">
        <f t="shared" si="45"/>
        <v>0.17337218611207256</v>
      </c>
      <c r="CK18" s="356">
        <f t="shared" si="46"/>
        <v>0.15917538664294728</v>
      </c>
      <c r="CL18" s="357">
        <f t="shared" si="47"/>
        <v>1.089189665365605</v>
      </c>
      <c r="CM18" s="73">
        <f t="shared" si="14"/>
        <v>24.519341059377989</v>
      </c>
      <c r="CN18" s="355">
        <v>1</v>
      </c>
      <c r="CO18" s="84">
        <f t="shared" si="15"/>
        <v>4.2749999999999995</v>
      </c>
      <c r="CP18" s="78">
        <f t="shared" si="48"/>
        <v>9.8493837450082944E-2</v>
      </c>
      <c r="CQ18" s="103">
        <f t="shared" si="49"/>
        <v>0.46841582984285679</v>
      </c>
      <c r="CR18" s="71">
        <f t="shared" si="50"/>
        <v>11761.199999999999</v>
      </c>
      <c r="CS18" s="71">
        <f t="shared" si="16"/>
        <v>353.88730629196249</v>
      </c>
      <c r="CT18" s="74">
        <f t="shared" si="17"/>
        <v>3.0089387672343173E-2</v>
      </c>
      <c r="CU18" s="353">
        <f t="shared" si="51"/>
        <v>2.9641208441981481E-2</v>
      </c>
      <c r="CV18" s="355">
        <f t="shared" si="52"/>
        <v>1.0150858945357244</v>
      </c>
      <c r="CW18" s="76">
        <f t="shared" si="18"/>
        <v>0.84</v>
      </c>
      <c r="CX18" s="74">
        <f t="shared" si="19"/>
        <v>21.519341059377989</v>
      </c>
      <c r="CY18" s="354">
        <v>1</v>
      </c>
      <c r="CZ18" s="83">
        <f t="shared" si="53"/>
        <v>2.2586249999999999</v>
      </c>
      <c r="DA18" s="79">
        <f t="shared" si="20"/>
        <v>6.518049768398862E-2</v>
      </c>
      <c r="DB18" s="112">
        <f t="shared" si="21"/>
        <v>3.931940026528033E-2</v>
      </c>
      <c r="DC18" s="55">
        <f t="shared" si="22"/>
        <v>-6.0180723255630212E-3</v>
      </c>
      <c r="DD18" s="133">
        <f t="shared" si="23"/>
        <v>3.330132793971731E-2</v>
      </c>
      <c r="DE18" s="467">
        <f t="shared" si="54"/>
        <v>371.38805032933851</v>
      </c>
      <c r="DF18" s="378">
        <f t="shared" si="69"/>
        <v>755.49817863901808</v>
      </c>
      <c r="DG18" s="240">
        <f t="shared" si="24"/>
        <v>528.84872504731266</v>
      </c>
      <c r="DH18" s="240">
        <f t="shared" si="70"/>
        <v>453.77195257908113</v>
      </c>
      <c r="DJ18" s="17">
        <f t="shared" si="25"/>
        <v>1126.8862289683566</v>
      </c>
      <c r="DK18" s="266">
        <f t="shared" si="55"/>
        <v>98.559002906383739</v>
      </c>
      <c r="DL18" s="135">
        <f t="shared" si="26"/>
        <v>1028.3272260619729</v>
      </c>
      <c r="DM18" s="244">
        <f>'Mite Immigration'!C26</f>
        <v>15</v>
      </c>
      <c r="DN18" s="137">
        <f t="shared" si="56"/>
        <v>-69.77548010091941</v>
      </c>
      <c r="DO18" s="98">
        <f t="shared" si="64"/>
        <v>-54.77548010091941</v>
      </c>
      <c r="DP18" s="265">
        <f t="shared" si="27"/>
        <v>973.55174596105348</v>
      </c>
      <c r="DQ18" s="393">
        <f>EY$32</f>
        <v>0</v>
      </c>
      <c r="DR18" s="135">
        <f t="shared" si="57"/>
        <v>0</v>
      </c>
      <c r="DS18" s="95">
        <f t="shared" si="28"/>
        <v>973.55174596105348</v>
      </c>
      <c r="DT18" s="29">
        <f t="shared" si="29"/>
        <v>1.6673333066210331E-2</v>
      </c>
      <c r="DU18" s="271">
        <f t="shared" si="30"/>
        <v>40756</v>
      </c>
      <c r="DV18" s="89">
        <f t="shared" si="31"/>
        <v>334.20376638668182</v>
      </c>
      <c r="DW18" s="29">
        <f t="shared" si="32"/>
        <v>6.6840753277336365E-3</v>
      </c>
      <c r="DX18" s="145">
        <f t="shared" si="33"/>
        <v>2.1054837282360954</v>
      </c>
      <c r="DY18" t="str">
        <f t="shared" si="65"/>
        <v/>
      </c>
      <c r="DZ18" t="str">
        <f t="shared" si="66"/>
        <v/>
      </c>
      <c r="EB18">
        <f t="shared" si="68"/>
        <v>0</v>
      </c>
      <c r="EC18" s="17">
        <f t="shared" si="58"/>
        <v>15398.4375</v>
      </c>
      <c r="ED18" s="18">
        <f t="shared" si="59"/>
        <v>-2000</v>
      </c>
      <c r="EE18" s="264">
        <f t="shared" si="60"/>
        <v>17398.4375</v>
      </c>
      <c r="EF18" s="264">
        <f t="shared" si="67"/>
        <v>1144.0068493150684</v>
      </c>
      <c r="EG18" s="104">
        <f t="shared" si="61"/>
        <v>0.6</v>
      </c>
      <c r="EH18" s="263">
        <f t="shared" si="62"/>
        <v>69.77548010091941</v>
      </c>
      <c r="EJ18" s="17">
        <f t="shared" si="63"/>
        <v>371.38805032933851</v>
      </c>
      <c r="EK18" s="164">
        <f>EY$57</f>
        <v>218.99401632291895</v>
      </c>
      <c r="EL18" s="37">
        <f>EX$59</f>
        <v>0.16605899533598348</v>
      </c>
      <c r="EP18" s="2">
        <v>40756</v>
      </c>
      <c r="EQ18" s="259">
        <v>43132</v>
      </c>
      <c r="ES18" s="249">
        <v>0.56000000000000005</v>
      </c>
      <c r="EU18" s="18"/>
      <c r="EV18" s="18"/>
    </row>
    <row r="19" spans="1:164" ht="12.75" customHeight="1" x14ac:dyDescent="0.4">
      <c r="A19" s="54"/>
      <c r="B19" s="401"/>
      <c r="AD19" s="481"/>
      <c r="AE19" s="486">
        <f t="shared" si="34"/>
        <v>40770</v>
      </c>
      <c r="AF19" s="383"/>
      <c r="BA19" s="406">
        <f t="shared" si="35"/>
        <v>40770</v>
      </c>
      <c r="BB19" s="59">
        <f t="shared" si="0"/>
        <v>973.55174596105348</v>
      </c>
      <c r="BC19" s="301">
        <f t="shared" si="36"/>
        <v>1.4180572249670727E-2</v>
      </c>
      <c r="BD19" s="233">
        <f t="shared" si="1"/>
        <v>30</v>
      </c>
      <c r="BE19" s="123">
        <f t="shared" si="37"/>
        <v>3.2841799804647249</v>
      </c>
      <c r="BF19" s="4">
        <f t="shared" si="2"/>
        <v>4.3730243184868178E-2</v>
      </c>
      <c r="BG19" s="3">
        <f t="shared" si="3"/>
        <v>0.42836832187730856</v>
      </c>
      <c r="BH19" s="499" t="s">
        <v>5</v>
      </c>
      <c r="BI19" s="496" t="s">
        <v>144</v>
      </c>
      <c r="BJ19" s="496"/>
      <c r="BK19" s="496"/>
      <c r="BL19" s="496"/>
      <c r="BM19" s="496"/>
      <c r="BP19" s="271">
        <f t="shared" si="38"/>
        <v>40770</v>
      </c>
      <c r="BQ19" s="457">
        <f>IF($BA$31="d",'Colony Type'!H46,IF($BA$31="n",'Colony Type'!H74,IF($BA$31="p",'Colony Type'!H102,IF($BA$31="a",'Colony Type'!H130,IF($BA$31="b",'Colony Type'!H158,IF($BA$31="c",'Colony Type'!H186,IF($BA$31="r",'Colony Type'!H214,IF($BA$31="s",'Colony Type'!H242,IF($BA$31="f",'Colony Type'!H270,"error")))))))))</f>
        <v>20</v>
      </c>
      <c r="BR19">
        <f t="shared" si="4"/>
        <v>40000</v>
      </c>
      <c r="BS19" s="81">
        <f>IF($BA$31="d",'Colony Type'!F46,IF($BA$31="n",'Colony Type'!F74,IF($BA$31="p",'Colony Type'!F102,IF($BA$31="a",'Colony Type'!F130,IF($BA$31="b",'Colony Type'!F158,IF($BA$31="c",'Colony Type'!F186,IF($BA$31="r",'Colony Type'!F214,IF($BA$31="s",'Colony Type'!F242,IF($BA$31="f",'Colony Type'!F270,"error")))))))))</f>
        <v>4</v>
      </c>
      <c r="BT19" s="17">
        <f t="shared" si="5"/>
        <v>18000</v>
      </c>
      <c r="BU19" s="21">
        <f t="shared" si="6"/>
        <v>0.45</v>
      </c>
      <c r="BV19">
        <f t="shared" si="39"/>
        <v>10800</v>
      </c>
      <c r="BW19" s="18">
        <f t="shared" si="40"/>
        <v>472.28662639657631</v>
      </c>
      <c r="BX19" s="18">
        <f t="shared" si="7"/>
        <v>900</v>
      </c>
      <c r="BY19" s="141">
        <f t="shared" si="41"/>
        <v>8.9925384810888573</v>
      </c>
      <c r="BZ19" s="27">
        <f t="shared" si="8"/>
        <v>20.992538481088857</v>
      </c>
      <c r="CA19" s="32">
        <f t="shared" si="9"/>
        <v>0.42836832187730856</v>
      </c>
      <c r="CB19" s="130">
        <f t="shared" si="10"/>
        <v>0.57163167812269144</v>
      </c>
      <c r="CC19" s="28">
        <f t="shared" si="11"/>
        <v>556.51301828299324</v>
      </c>
      <c r="CD19" s="255">
        <f t="shared" si="12"/>
        <v>10800</v>
      </c>
      <c r="CE19" s="80">
        <f>IF($BA$31="d",'Colony Type'!J46,IF($BA$31="n",'Colony Type'!J74,IF($BA$31="p",'Colony Type'!J102,IF($BA$31="a",'Colony Type'!J130,IF($BA$31="b",'Colony Type'!J158,IF($BA$31="c",'Colony Type'!J186,IF($BA$31="r",'Colony Type'!J214,IF($BA$31="s",'Colony Type'!J214,IF($BA$31="f",'Colony Type'!J270,"error")))))))))</f>
        <v>0.05</v>
      </c>
      <c r="CF19" s="106">
        <f t="shared" si="42"/>
        <v>3.2000000000000001E-2</v>
      </c>
      <c r="CG19" s="75">
        <f t="shared" si="43"/>
        <v>0.16</v>
      </c>
      <c r="CH19" s="102">
        <f t="shared" si="44"/>
        <v>9.1461068499630635E-2</v>
      </c>
      <c r="CI19" s="72">
        <f t="shared" si="13"/>
        <v>89.042082925278919</v>
      </c>
      <c r="CJ19" s="73">
        <f t="shared" si="45"/>
        <v>0.25764491587175614</v>
      </c>
      <c r="CK19" s="356">
        <f t="shared" si="46"/>
        <v>0.22713038287659471</v>
      </c>
      <c r="CL19" s="357">
        <f t="shared" si="47"/>
        <v>1.1343480894484324</v>
      </c>
      <c r="CM19" s="73">
        <f t="shared" si="14"/>
        <v>23.992538481088857</v>
      </c>
      <c r="CN19" s="355">
        <v>1</v>
      </c>
      <c r="CO19" s="84">
        <f t="shared" si="15"/>
        <v>4.2749999999999995</v>
      </c>
      <c r="CP19" s="78">
        <f t="shared" si="48"/>
        <v>9.8493837450082944E-2</v>
      </c>
      <c r="CQ19" s="103">
        <f t="shared" si="49"/>
        <v>0.4801706096230608</v>
      </c>
      <c r="CR19" s="71">
        <f t="shared" si="50"/>
        <v>10454.4</v>
      </c>
      <c r="CS19" s="71">
        <f t="shared" si="16"/>
        <v>467.47093535771432</v>
      </c>
      <c r="CT19" s="74">
        <f t="shared" si="17"/>
        <v>4.4715233333114703E-2</v>
      </c>
      <c r="CU19" s="353">
        <f t="shared" si="51"/>
        <v>4.3730243184868178E-2</v>
      </c>
      <c r="CV19" s="355">
        <f t="shared" si="52"/>
        <v>1.0225008501150272</v>
      </c>
      <c r="CW19" s="76">
        <f t="shared" si="18"/>
        <v>0.84</v>
      </c>
      <c r="CX19" s="74">
        <f t="shared" si="19"/>
        <v>20.992538481088857</v>
      </c>
      <c r="CY19" s="354">
        <v>1</v>
      </c>
      <c r="CZ19" s="83">
        <f t="shared" si="53"/>
        <v>2.2586249999999999</v>
      </c>
      <c r="DA19" s="79">
        <f t="shared" si="20"/>
        <v>6.518049768398862E-2</v>
      </c>
      <c r="DB19" s="112">
        <f t="shared" si="21"/>
        <v>4.0306110922268837E-2</v>
      </c>
      <c r="DC19" s="55">
        <f t="shared" si="22"/>
        <v>-6.0180723255630212E-3</v>
      </c>
      <c r="DD19" s="133">
        <f t="shared" si="23"/>
        <v>3.4288038596705817E-2</v>
      </c>
      <c r="DE19" s="467">
        <f t="shared" si="54"/>
        <v>480.76417686642515</v>
      </c>
      <c r="DF19" s="378">
        <f t="shared" si="69"/>
        <v>973.55174596105348</v>
      </c>
      <c r="DG19" s="240">
        <f t="shared" si="24"/>
        <v>681.48622217273737</v>
      </c>
      <c r="DH19" s="240">
        <f t="shared" si="70"/>
        <v>568.31930478341781</v>
      </c>
      <c r="DJ19" s="17">
        <f t="shared" si="25"/>
        <v>1454.3159228274785</v>
      </c>
      <c r="DK19" s="266">
        <f t="shared" si="55"/>
        <v>127.19644945521691</v>
      </c>
      <c r="DL19" s="135">
        <f t="shared" si="26"/>
        <v>1327.1194733722616</v>
      </c>
      <c r="DM19" s="244">
        <f>'Mite Immigration'!C27</f>
        <v>30</v>
      </c>
      <c r="DN19" s="137">
        <f t="shared" si="56"/>
        <v>-149.24936372531582</v>
      </c>
      <c r="DO19" s="98">
        <f t="shared" si="64"/>
        <v>-119.24936372531582</v>
      </c>
      <c r="DP19" s="265">
        <f t="shared" si="27"/>
        <v>1207.8701096469458</v>
      </c>
      <c r="DQ19" s="393">
        <f>EZ$32</f>
        <v>0</v>
      </c>
      <c r="DR19" s="135">
        <f t="shared" si="57"/>
        <v>0</v>
      </c>
      <c r="DS19" s="95">
        <f t="shared" si="28"/>
        <v>1207.8701096469458</v>
      </c>
      <c r="DT19" s="29">
        <f t="shared" si="29"/>
        <v>1.4180572249670727E-2</v>
      </c>
      <c r="DU19" s="271">
        <f t="shared" si="30"/>
        <v>40770</v>
      </c>
      <c r="DV19" s="89">
        <f t="shared" si="31"/>
        <v>417.0387276780603</v>
      </c>
      <c r="DW19" s="29">
        <f t="shared" si="32"/>
        <v>1.0425968191951508E-2</v>
      </c>
      <c r="DX19" s="145">
        <f t="shared" si="33"/>
        <v>3.2841799804647249</v>
      </c>
      <c r="DY19" t="str">
        <f t="shared" si="65"/>
        <v/>
      </c>
      <c r="DZ19" t="str">
        <f t="shared" si="66"/>
        <v/>
      </c>
      <c r="EB19">
        <f t="shared" si="68"/>
        <v>0</v>
      </c>
      <c r="EC19" s="17">
        <f t="shared" si="58"/>
        <v>13858.59375</v>
      </c>
      <c r="ED19" s="18">
        <f t="shared" si="59"/>
        <v>-10000</v>
      </c>
      <c r="EE19" s="264">
        <f t="shared" si="60"/>
        <v>23858.59375</v>
      </c>
      <c r="EF19" s="264">
        <f t="shared" si="67"/>
        <v>1568.7842465753424</v>
      </c>
      <c r="EG19" s="104">
        <f t="shared" si="61"/>
        <v>0.6</v>
      </c>
      <c r="EH19" s="263">
        <f t="shared" si="62"/>
        <v>149.24936372531582</v>
      </c>
      <c r="EJ19" s="17">
        <f t="shared" si="63"/>
        <v>480.76417686642515</v>
      </c>
      <c r="EK19" s="164">
        <f>EZ$57</f>
        <v>289.31698942240905</v>
      </c>
      <c r="EL19" s="37">
        <f>EY$59</f>
        <v>0.17297668552958032</v>
      </c>
      <c r="EN19" s="37"/>
      <c r="EP19" s="2">
        <v>40770</v>
      </c>
      <c r="EQ19" s="259">
        <v>43146</v>
      </c>
      <c r="ET19">
        <v>13.23</v>
      </c>
      <c r="EU19" s="18"/>
      <c r="EV19" s="18"/>
    </row>
    <row r="20" spans="1:164" ht="12.75" customHeight="1" x14ac:dyDescent="0.4">
      <c r="A20" s="54"/>
      <c r="B20" s="572" t="s">
        <v>352</v>
      </c>
      <c r="C20" s="573"/>
      <c r="D20" s="125"/>
      <c r="E20" s="125"/>
      <c r="F20" s="125"/>
      <c r="G20" s="125"/>
      <c r="H20" s="125"/>
      <c r="I20" s="125"/>
      <c r="J20" s="125"/>
      <c r="K20" s="125"/>
      <c r="L20" s="125"/>
      <c r="M20" s="125"/>
      <c r="N20" s="125"/>
      <c r="O20" s="125"/>
      <c r="P20" s="125"/>
      <c r="Q20" s="125"/>
      <c r="R20" s="125"/>
      <c r="S20" s="125"/>
      <c r="T20" s="125"/>
      <c r="U20" s="125"/>
      <c r="V20" s="125"/>
      <c r="W20" s="125"/>
      <c r="X20" s="125"/>
      <c r="Y20" s="125"/>
      <c r="Z20" s="173"/>
      <c r="AA20" s="405"/>
      <c r="AB20" s="602"/>
      <c r="AC20" s="602"/>
      <c r="AD20" s="481"/>
      <c r="AE20" s="486">
        <f t="shared" si="34"/>
        <v>40787</v>
      </c>
      <c r="AF20" s="383"/>
      <c r="BA20" s="406">
        <f t="shared" si="35"/>
        <v>40787</v>
      </c>
      <c r="BB20" s="59">
        <f t="shared" si="0"/>
        <v>1207.8701096469458</v>
      </c>
      <c r="BC20" s="301">
        <f t="shared" si="36"/>
        <v>1.1491834318530033E-2</v>
      </c>
      <c r="BD20" s="233">
        <f t="shared" si="1"/>
        <v>40</v>
      </c>
      <c r="BE20" s="123">
        <f t="shared" si="37"/>
        <v>5.3848895150592035</v>
      </c>
      <c r="BF20" s="4">
        <f t="shared" si="2"/>
        <v>7.0550987572798762E-2</v>
      </c>
      <c r="BG20" s="3">
        <f t="shared" si="3"/>
        <v>0.39628172098980846</v>
      </c>
      <c r="BH20" s="498"/>
      <c r="BI20" s="496"/>
      <c r="BJ20" s="496"/>
      <c r="BK20" s="496"/>
      <c r="BL20" s="496"/>
      <c r="BM20" s="496"/>
      <c r="BP20" s="271">
        <f t="shared" si="38"/>
        <v>40787</v>
      </c>
      <c r="BQ20" s="457">
        <f>IF($BA$31="d",'Colony Type'!H47,IF($BA$31="n",'Colony Type'!H75,IF($BA$31="p",'Colony Type'!H103,IF($BA$31="a",'Colony Type'!H131,IF($BA$31="b",'Colony Type'!H159,IF($BA$31="c",'Colony Type'!H187,IF($BA$31="r",'Colony Type'!H215,IF($BA$31="s",'Colony Type'!H243,IF($BA$31="f",'Colony Type'!H271,"error")))))))))</f>
        <v>14</v>
      </c>
      <c r="BR20">
        <f t="shared" si="4"/>
        <v>28000</v>
      </c>
      <c r="BS20" s="81">
        <f>IF($BA$31="d",'Colony Type'!F47,IF($BA$31="n",'Colony Type'!F75,IF($BA$31="p",'Colony Type'!F103,IF($BA$31="a",'Colony Type'!F131,IF($BA$31="b",'Colony Type'!F159,IF($BA$31="c",'Colony Type'!F187,IF($BA$31="r",'Colony Type'!F215,IF($BA$31="s",'Colony Type'!F243,IF($BA$31="f",'Colony Type'!F271,"error")))))))))</f>
        <v>3.5</v>
      </c>
      <c r="BT20" s="17">
        <f t="shared" si="5"/>
        <v>15750</v>
      </c>
      <c r="BU20" s="21">
        <f t="shared" si="6"/>
        <v>0.5625</v>
      </c>
      <c r="BV20">
        <f t="shared" si="39"/>
        <v>9450</v>
      </c>
      <c r="BW20" s="18">
        <f t="shared" si="40"/>
        <v>666.70683256294831</v>
      </c>
      <c r="BX20" s="18">
        <f t="shared" si="7"/>
        <v>787.5</v>
      </c>
      <c r="BY20" s="141">
        <f t="shared" si="41"/>
        <v>7.8768207245178088</v>
      </c>
      <c r="BZ20" s="27">
        <f t="shared" si="8"/>
        <v>19.87682072451781</v>
      </c>
      <c r="CA20" s="32">
        <f t="shared" si="9"/>
        <v>0.39628172098980846</v>
      </c>
      <c r="CB20" s="130">
        <f t="shared" si="10"/>
        <v>0.60371827901019159</v>
      </c>
      <c r="CC20" s="28">
        <f t="shared" si="11"/>
        <v>729.21326386390558</v>
      </c>
      <c r="CD20" s="255">
        <f t="shared" si="12"/>
        <v>9450</v>
      </c>
      <c r="CE20" s="80">
        <f>IF($BA$31="d",'Colony Type'!J47,IF($BA$31="n",'Colony Type'!J75,IF($BA$31="p",'Colony Type'!J103,IF($BA$31="a",'Colony Type'!J131,IF($BA$31="b",'Colony Type'!J159,IF($BA$31="c",'Colony Type'!J187,IF($BA$31="r",'Colony Type'!J215,IF($BA$31="s",'Colony Type'!J215,IF($BA$31="f",'Colony Type'!J271,"error")))))))))</f>
        <v>0.02</v>
      </c>
      <c r="CF20" s="106">
        <f t="shared" si="42"/>
        <v>1.2800000000000001E-2</v>
      </c>
      <c r="CG20" s="75">
        <f t="shared" si="43"/>
        <v>6.4000000000000001E-2</v>
      </c>
      <c r="CH20" s="102">
        <f t="shared" si="44"/>
        <v>3.8637969856652264E-2</v>
      </c>
      <c r="CI20" s="72">
        <f t="shared" si="13"/>
        <v>46.669648887289959</v>
      </c>
      <c r="CJ20" s="73">
        <f t="shared" si="45"/>
        <v>0.38582712373751615</v>
      </c>
      <c r="CK20" s="356">
        <f t="shared" si="46"/>
        <v>0.3201119479733876</v>
      </c>
      <c r="CL20" s="357">
        <f t="shared" si="47"/>
        <v>1.205288106801911</v>
      </c>
      <c r="CM20" s="73">
        <f t="shared" si="14"/>
        <v>22.87682072451781</v>
      </c>
      <c r="CN20" s="355">
        <v>1</v>
      </c>
      <c r="CO20" s="84">
        <f t="shared" si="15"/>
        <v>4.2749999999999995</v>
      </c>
      <c r="CP20" s="78">
        <f t="shared" si="48"/>
        <v>9.8493837450082944E-2</v>
      </c>
      <c r="CQ20" s="103">
        <f t="shared" si="49"/>
        <v>0.56508030915353935</v>
      </c>
      <c r="CR20" s="71">
        <f t="shared" si="50"/>
        <v>9329.0399999999991</v>
      </c>
      <c r="CS20" s="71">
        <f t="shared" si="16"/>
        <v>682.54361497661557</v>
      </c>
      <c r="CT20" s="74">
        <f t="shared" si="17"/>
        <v>7.3163328164164335E-2</v>
      </c>
      <c r="CU20" s="353">
        <f t="shared" si="51"/>
        <v>7.0550987572798762E-2</v>
      </c>
      <c r="CV20" s="355">
        <f t="shared" si="52"/>
        <v>1.0370129982329848</v>
      </c>
      <c r="CW20" s="76">
        <f t="shared" si="18"/>
        <v>0.93599999999999994</v>
      </c>
      <c r="CX20" s="74">
        <f t="shared" si="19"/>
        <v>19.87682072451781</v>
      </c>
      <c r="CY20" s="354">
        <v>1</v>
      </c>
      <c r="CZ20" s="83">
        <f t="shared" si="53"/>
        <v>2.2586249999999999</v>
      </c>
      <c r="DA20" s="79">
        <f t="shared" si="20"/>
        <v>6.518049768398862E-2</v>
      </c>
      <c r="DB20" s="112">
        <f t="shared" si="21"/>
        <v>4.0637817704512157E-2</v>
      </c>
      <c r="DC20" s="55">
        <f t="shared" si="22"/>
        <v>-6.0180723255630212E-3</v>
      </c>
      <c r="DD20" s="133">
        <f t="shared" si="23"/>
        <v>3.4619745378949136E-2</v>
      </c>
      <c r="DE20" s="467">
        <f t="shared" si="54"/>
        <v>598.05664156575801</v>
      </c>
      <c r="DF20" s="378">
        <f t="shared" si="69"/>
        <v>1207.8701096469458</v>
      </c>
      <c r="DG20" s="240">
        <f t="shared" si="24"/>
        <v>845.50907675286203</v>
      </c>
      <c r="DH20" s="240">
        <f t="shared" si="70"/>
        <v>699.2557190709764</v>
      </c>
      <c r="DJ20" s="17">
        <f t="shared" si="25"/>
        <v>1805.9267512127039</v>
      </c>
      <c r="DK20" s="266">
        <f t="shared" si="55"/>
        <v>157.94881093225877</v>
      </c>
      <c r="DL20" s="135">
        <f t="shared" si="26"/>
        <v>1647.9779402804452</v>
      </c>
      <c r="DM20" s="244">
        <f>'Mite Immigration'!C28</f>
        <v>40</v>
      </c>
      <c r="DN20" s="137">
        <f t="shared" si="56"/>
        <v>-249.43577503684955</v>
      </c>
      <c r="DO20" s="98">
        <f t="shared" si="64"/>
        <v>-209.43577503684955</v>
      </c>
      <c r="DP20" s="265">
        <f t="shared" si="27"/>
        <v>1438.5421652435957</v>
      </c>
      <c r="DQ20" s="393">
        <f>FA$32</f>
        <v>0</v>
      </c>
      <c r="DR20" s="135">
        <f t="shared" si="57"/>
        <v>0</v>
      </c>
      <c r="DS20" s="95">
        <f t="shared" si="28"/>
        <v>1438.5421652435957</v>
      </c>
      <c r="DT20" s="29">
        <f t="shared" si="29"/>
        <v>1.1491834318530033E-2</v>
      </c>
      <c r="DU20" s="271">
        <f t="shared" si="30"/>
        <v>40787</v>
      </c>
      <c r="DV20" s="89">
        <f t="shared" si="31"/>
        <v>478.65684578304035</v>
      </c>
      <c r="DW20" s="29">
        <f t="shared" si="32"/>
        <v>1.7094887349394298E-2</v>
      </c>
      <c r="DX20" s="145">
        <f t="shared" si="33"/>
        <v>5.3848895150592035</v>
      </c>
      <c r="DY20" t="str">
        <f t="shared" si="65"/>
        <v/>
      </c>
      <c r="DZ20" t="str">
        <f t="shared" si="66"/>
        <v/>
      </c>
      <c r="EB20">
        <f t="shared" si="68"/>
        <v>0</v>
      </c>
      <c r="EC20" s="17">
        <f t="shared" si="58"/>
        <v>12318.75</v>
      </c>
      <c r="ED20" s="18">
        <f t="shared" si="59"/>
        <v>-12000</v>
      </c>
      <c r="EE20" s="264">
        <f t="shared" si="60"/>
        <v>24318.75</v>
      </c>
      <c r="EF20" s="264">
        <f t="shared" si="67"/>
        <v>1599.0410958904108</v>
      </c>
      <c r="EG20" s="104">
        <f t="shared" si="61"/>
        <v>0.6</v>
      </c>
      <c r="EH20" s="263">
        <f t="shared" si="62"/>
        <v>249.43577503684955</v>
      </c>
      <c r="EJ20" s="17">
        <f t="shared" si="63"/>
        <v>598.05664156575801</v>
      </c>
      <c r="EK20" s="164">
        <f>FA$57</f>
        <v>383.21384983725022</v>
      </c>
      <c r="EL20" s="37">
        <f>EZ$59</f>
        <v>0.17668033255584753</v>
      </c>
      <c r="EP20" s="2">
        <v>40787</v>
      </c>
      <c r="EQ20" s="259">
        <v>43160</v>
      </c>
      <c r="EU20" s="18"/>
      <c r="EV20" s="18"/>
    </row>
    <row r="21" spans="1:164" ht="12.75" customHeight="1" x14ac:dyDescent="0.4">
      <c r="A21" s="54"/>
      <c r="B21" s="403" t="s">
        <v>346</v>
      </c>
      <c r="C21" s="408" t="s">
        <v>373</v>
      </c>
      <c r="D21" s="574" t="str">
        <f>IF($C$21="d",'Colony Type'!B30,IF($C$21="b",'Colony Type'!B142,IF($C$21="c",'Colony Type'!B170,IF($C$21="r",'Colony Type'!B198,IF($C$21="s",'Colony Type'!B226,IF($C$21="f",'Colony Type'!B254,"error"))))))</f>
        <v>B: High latitude colony--short summer, long winter brood break</v>
      </c>
      <c r="E21" s="575"/>
      <c r="F21" s="575"/>
      <c r="G21" s="575"/>
      <c r="H21" s="575"/>
      <c r="I21" s="575"/>
      <c r="J21" s="575"/>
      <c r="K21" s="575"/>
      <c r="L21" s="575"/>
      <c r="M21" s="575"/>
      <c r="N21" s="575"/>
      <c r="O21" s="575"/>
      <c r="P21" s="575"/>
      <c r="Q21" s="575"/>
      <c r="R21" s="575"/>
      <c r="S21" s="575"/>
      <c r="T21" s="575"/>
      <c r="U21" s="575"/>
      <c r="V21" s="575"/>
      <c r="W21" s="575"/>
      <c r="X21" s="575"/>
      <c r="Y21" s="575"/>
      <c r="Z21" s="575"/>
      <c r="AA21" s="576"/>
      <c r="AB21" s="577" t="s">
        <v>351</v>
      </c>
      <c r="AC21" s="577"/>
      <c r="AD21" s="481"/>
      <c r="AE21" s="486">
        <f t="shared" si="34"/>
        <v>40801</v>
      </c>
      <c r="BA21" s="406">
        <f t="shared" si="35"/>
        <v>40801</v>
      </c>
      <c r="BB21" s="59">
        <f t="shared" si="0"/>
        <v>1438.5421652435957</v>
      </c>
      <c r="BC21" s="301">
        <f t="shared" si="36"/>
        <v>1.4708506556086751E-2</v>
      </c>
      <c r="BD21" s="233">
        <f t="shared" si="1"/>
        <v>50</v>
      </c>
      <c r="BE21" s="123">
        <f t="shared" si="37"/>
        <v>7.4821420400886796</v>
      </c>
      <c r="BF21" s="4">
        <f t="shared" si="2"/>
        <v>9.6661780025825927E-2</v>
      </c>
      <c r="BG21" s="3">
        <f t="shared" si="3"/>
        <v>0.39628172098980846</v>
      </c>
      <c r="BH21" s="520" t="s">
        <v>319</v>
      </c>
      <c r="BI21" s="496" t="s">
        <v>156</v>
      </c>
      <c r="BJ21" s="496"/>
      <c r="BK21" s="496"/>
      <c r="BL21" s="496"/>
      <c r="BM21" s="496"/>
      <c r="BP21" s="271">
        <f t="shared" si="38"/>
        <v>40801</v>
      </c>
      <c r="BQ21" s="457">
        <f>IF($BA$31="d",'Colony Type'!H48,IF($BA$31="n",'Colony Type'!H76,IF($BA$31="p",'Colony Type'!H104,IF($BA$31="a",'Colony Type'!H132,IF($BA$31="b",'Colony Type'!H160,IF($BA$31="c",'Colony Type'!H188,IF($BA$31="r",'Colony Type'!H216,IF($BA$31="s",'Colony Type'!H244,IF($BA$31="f",'Colony Type'!H272,"error")))))))))</f>
        <v>12</v>
      </c>
      <c r="BR21">
        <f t="shared" si="4"/>
        <v>24000</v>
      </c>
      <c r="BS21" s="81">
        <f>IF($BA$31="d",'Colony Type'!F48,IF($BA$31="n",'Colony Type'!F76,IF($BA$31="p",'Colony Type'!F104,IF($BA$31="a",'Colony Type'!F132,IF($BA$31="b",'Colony Type'!F160,IF($BA$31="c",'Colony Type'!F188,IF($BA$31="r",'Colony Type'!F216,IF($BA$31="s",'Colony Type'!F244,IF($BA$31="f",'Colony Type'!F272,"error")))))))))</f>
        <v>3</v>
      </c>
      <c r="BT21" s="17">
        <f t="shared" si="5"/>
        <v>13500</v>
      </c>
      <c r="BU21" s="21">
        <f t="shared" si="6"/>
        <v>0.5625</v>
      </c>
      <c r="BV21">
        <f t="shared" si="39"/>
        <v>8100</v>
      </c>
      <c r="BW21" s="18">
        <f t="shared" si="40"/>
        <v>782.96041820919004</v>
      </c>
      <c r="BX21" s="18">
        <f t="shared" si="7"/>
        <v>675</v>
      </c>
      <c r="BY21" s="141">
        <f t="shared" si="41"/>
        <v>7.8768207245178088</v>
      </c>
      <c r="BZ21" s="27">
        <f t="shared" si="8"/>
        <v>19.87682072451781</v>
      </c>
      <c r="CA21" s="32">
        <f t="shared" si="9"/>
        <v>0.39628172098980846</v>
      </c>
      <c r="CB21" s="130">
        <f t="shared" si="10"/>
        <v>0.60371827901019159</v>
      </c>
      <c r="CC21" s="28">
        <f t="shared" si="11"/>
        <v>868.47420028445822</v>
      </c>
      <c r="CD21" s="255">
        <f t="shared" si="12"/>
        <v>8100</v>
      </c>
      <c r="CE21" s="80">
        <f>IF($BA$31="d",'Colony Type'!J48,IF($BA$31="n",'Colony Type'!J76,IF($BA$31="p",'Colony Type'!J104,IF($BA$31="a",'Colony Type'!J132,IF($BA$31="b",'Colony Type'!J160,IF($BA$31="c",'Colony Type'!J188,IF($BA$31="r",'Colony Type'!J216,IF($BA$31="s",'Colony Type'!J216,IF($BA$31="f",'Colony Type'!J272,"error")))))))))</f>
        <v>0.02</v>
      </c>
      <c r="CF21" s="106">
        <f t="shared" si="42"/>
        <v>1.2800000000000001E-2</v>
      </c>
      <c r="CG21" s="75">
        <f t="shared" si="43"/>
        <v>6.4000000000000001E-2</v>
      </c>
      <c r="CH21" s="102">
        <f t="shared" si="44"/>
        <v>3.8637969856652264E-2</v>
      </c>
      <c r="CI21" s="72">
        <f t="shared" si="13"/>
        <v>55.582348818205325</v>
      </c>
      <c r="CJ21" s="73">
        <f t="shared" si="45"/>
        <v>0.5360951853607766</v>
      </c>
      <c r="CK21" s="356">
        <f t="shared" si="46"/>
        <v>0.41497177518127282</v>
      </c>
      <c r="CL21" s="357">
        <f t="shared" si="47"/>
        <v>1.2918834904532801</v>
      </c>
      <c r="CM21" s="73">
        <f t="shared" si="14"/>
        <v>22.87682072451781</v>
      </c>
      <c r="CN21" s="355">
        <v>1</v>
      </c>
      <c r="CO21" s="84">
        <f t="shared" si="15"/>
        <v>4.2749999999999995</v>
      </c>
      <c r="CP21" s="78">
        <f t="shared" si="48"/>
        <v>9.8493837450082944E-2</v>
      </c>
      <c r="CQ21" s="103">
        <f t="shared" si="49"/>
        <v>0.56508030915353935</v>
      </c>
      <c r="CR21" s="71">
        <f t="shared" si="50"/>
        <v>7996.32</v>
      </c>
      <c r="CS21" s="71">
        <f t="shared" si="16"/>
        <v>812.89185146625289</v>
      </c>
      <c r="CT21" s="74">
        <f t="shared" si="17"/>
        <v>0.1016582442256254</v>
      </c>
      <c r="CU21" s="353">
        <f t="shared" si="51"/>
        <v>9.6661780025825927E-2</v>
      </c>
      <c r="CV21" s="355">
        <f t="shared" si="52"/>
        <v>1.0516792937102037</v>
      </c>
      <c r="CW21" s="76">
        <f t="shared" si="18"/>
        <v>0.93599999999999994</v>
      </c>
      <c r="CX21" s="74">
        <f t="shared" si="19"/>
        <v>19.87682072451781</v>
      </c>
      <c r="CY21" s="354">
        <v>1</v>
      </c>
      <c r="CZ21" s="83">
        <f t="shared" si="53"/>
        <v>2.2586249999999999</v>
      </c>
      <c r="DA21" s="79">
        <f t="shared" si="20"/>
        <v>6.518049768398862E-2</v>
      </c>
      <c r="DB21" s="112">
        <f t="shared" si="21"/>
        <v>4.0637817704512157E-2</v>
      </c>
      <c r="DC21" s="55">
        <f t="shared" si="22"/>
        <v>-6.0180723255630212E-3</v>
      </c>
      <c r="DD21" s="133">
        <f t="shared" si="23"/>
        <v>3.4619745378949136E-2</v>
      </c>
      <c r="DE21" s="467">
        <f t="shared" si="54"/>
        <v>709.08029491184868</v>
      </c>
      <c r="DF21" s="378">
        <f t="shared" si="69"/>
        <v>1438.5421652435957</v>
      </c>
      <c r="DG21" s="240">
        <f t="shared" si="24"/>
        <v>1006.9795156705169</v>
      </c>
      <c r="DH21" s="240">
        <f t="shared" si="70"/>
        <v>829.06603996492379</v>
      </c>
      <c r="DJ21" s="17">
        <f t="shared" si="25"/>
        <v>2147.6224601554445</v>
      </c>
      <c r="DK21" s="266">
        <f t="shared" si="55"/>
        <v>187.83398257165072</v>
      </c>
      <c r="DL21" s="135">
        <f t="shared" si="26"/>
        <v>1959.7884775837938</v>
      </c>
      <c r="DM21" s="244">
        <f>'Mite Immigration'!C29</f>
        <v>50</v>
      </c>
      <c r="DN21" s="137">
        <f t="shared" si="56"/>
        <v>-210.62452525648445</v>
      </c>
      <c r="DO21" s="98">
        <f t="shared" si="64"/>
        <v>-160.62452525648445</v>
      </c>
      <c r="DP21" s="265">
        <f t="shared" si="27"/>
        <v>1799.1639523273093</v>
      </c>
      <c r="DQ21" s="393">
        <f>FB$32</f>
        <v>0</v>
      </c>
      <c r="DR21" s="135">
        <f t="shared" si="57"/>
        <v>0</v>
      </c>
      <c r="DS21" s="95">
        <f t="shared" si="28"/>
        <v>1799.1639523273093</v>
      </c>
      <c r="DT21" s="29">
        <f t="shared" si="29"/>
        <v>1.4708506556086751E-2</v>
      </c>
      <c r="DU21" s="271">
        <f t="shared" si="30"/>
        <v>40801</v>
      </c>
      <c r="DV21" s="89">
        <f t="shared" si="31"/>
        <v>570.0679649591375</v>
      </c>
      <c r="DW21" s="29">
        <f t="shared" si="32"/>
        <v>2.3752831873297395E-2</v>
      </c>
      <c r="DX21" s="145">
        <f t="shared" si="33"/>
        <v>7.4821420400886796</v>
      </c>
      <c r="DY21" t="str">
        <f t="shared" si="65"/>
        <v/>
      </c>
      <c r="DZ21" t="str">
        <f t="shared" si="66"/>
        <v/>
      </c>
      <c r="EB21">
        <f t="shared" si="68"/>
        <v>0</v>
      </c>
      <c r="EC21" s="17">
        <f t="shared" si="58"/>
        <v>10778.90625</v>
      </c>
      <c r="ED21" s="18">
        <f t="shared" si="59"/>
        <v>-4000</v>
      </c>
      <c r="EE21" s="264">
        <f t="shared" si="60"/>
        <v>14778.90625</v>
      </c>
      <c r="EF21" s="264">
        <f t="shared" si="67"/>
        <v>971.7636986301369</v>
      </c>
      <c r="EG21" s="104">
        <f t="shared" si="61"/>
        <v>0.6</v>
      </c>
      <c r="EH21" s="263">
        <f t="shared" si="62"/>
        <v>210.62452525648445</v>
      </c>
      <c r="EJ21" s="17">
        <f t="shared" si="63"/>
        <v>709.08029491184868</v>
      </c>
      <c r="EK21" s="164">
        <f>FB$57</f>
        <v>487.06183479446855</v>
      </c>
      <c r="EL21" s="37">
        <f>FA$59</f>
        <v>0.18298568728800391</v>
      </c>
      <c r="EP21" s="2">
        <v>40801</v>
      </c>
      <c r="EQ21" s="259">
        <v>43174</v>
      </c>
      <c r="ET21">
        <v>19.53</v>
      </c>
      <c r="EU21" s="18"/>
      <c r="EV21" s="18"/>
    </row>
    <row r="22" spans="1:164" ht="12.65" customHeight="1" x14ac:dyDescent="0.4">
      <c r="B22" s="396" t="s">
        <v>345</v>
      </c>
      <c r="C22" s="402">
        <v>100</v>
      </c>
      <c r="D22" s="414">
        <f>BB5</f>
        <v>92.660083310629844</v>
      </c>
      <c r="E22" s="414">
        <f>IF('Brood break'!$BB6=0,"",'Brood break'!$BB5)</f>
        <v>92.660083310629844</v>
      </c>
      <c r="F22" s="414">
        <f>IF('Brood break'!$BB7=0,"",'Brood break'!$BB5)</f>
        <v>92.660083310629844</v>
      </c>
      <c r="G22" s="414">
        <f>IF('Brood break'!$BB8=0,"",'Brood break'!$BB5)</f>
        <v>92.660083310629844</v>
      </c>
      <c r="H22" s="414">
        <f>IF('Brood break'!$BB9=0,"",'Brood break'!$BB5)</f>
        <v>92.660083310629844</v>
      </c>
      <c r="I22" s="414">
        <f>BB10</f>
        <v>179.52443393401578</v>
      </c>
      <c r="J22" s="414">
        <f>'Brood break'!BB11</f>
        <v>157.57325721354013</v>
      </c>
      <c r="K22" s="414">
        <f>'Brood break'!BB12</f>
        <v>140.54011590519272</v>
      </c>
      <c r="L22" s="414">
        <f>'Brood break'!BB13</f>
        <v>213.30417096207731</v>
      </c>
      <c r="M22" s="414">
        <f>'Brood break'!BB14</f>
        <v>278.92432739498145</v>
      </c>
      <c r="N22" s="414">
        <f>'Brood break'!BB15</f>
        <v>371.78771443960494</v>
      </c>
      <c r="O22" s="414">
        <f>'Brood break'!BB16</f>
        <v>485.622190452025</v>
      </c>
      <c r="P22" s="414">
        <f>'Brood break'!BB17</f>
        <v>597.17190364518092</v>
      </c>
      <c r="Q22" s="414">
        <f>'Brood break'!BB18</f>
        <v>755.49817863901808</v>
      </c>
      <c r="R22" s="414">
        <f>'Brood break'!BB19</f>
        <v>973.55174596105348</v>
      </c>
      <c r="S22" s="414">
        <f>'Brood break'!BB20</f>
        <v>1207.8701096469458</v>
      </c>
      <c r="T22" s="414">
        <f>'Brood break'!BB21</f>
        <v>1438.5421652435957</v>
      </c>
      <c r="U22" s="414">
        <f>'Brood break'!BB22</f>
        <v>1799.1639523273093</v>
      </c>
      <c r="V22" s="414">
        <f>'Brood break'!BB23</f>
        <v>1795.9896916958526</v>
      </c>
      <c r="W22" s="414" t="str">
        <f>'Brood break'!BB24</f>
        <v/>
      </c>
      <c r="X22" s="414" t="str">
        <f>'Brood break'!BB25</f>
        <v/>
      </c>
      <c r="Y22" s="414" t="str">
        <f>'Brood break'!BB26</f>
        <v/>
      </c>
      <c r="Z22" s="414" t="str">
        <f>'Brood break'!BB27</f>
        <v/>
      </c>
      <c r="AA22" s="415" t="str">
        <f>'Brood break'!BB28</f>
        <v/>
      </c>
      <c r="AB22" s="577"/>
      <c r="AC22" s="577"/>
      <c r="AD22" s="481"/>
      <c r="AE22" s="486">
        <f t="shared" si="34"/>
        <v>40817</v>
      </c>
      <c r="AF22" s="291"/>
      <c r="BA22" s="406">
        <f t="shared" si="35"/>
        <v>40817</v>
      </c>
      <c r="BB22" s="59">
        <f t="shared" si="0"/>
        <v>1799.1639523273093</v>
      </c>
      <c r="BC22" s="301">
        <f t="shared" si="36"/>
        <v>-1.161110662723213E-4</v>
      </c>
      <c r="BD22" s="233">
        <f t="shared" si="1"/>
        <v>30</v>
      </c>
      <c r="BE22" s="123">
        <f t="shared" si="37"/>
        <v>16.159427087835468</v>
      </c>
      <c r="BF22" s="4">
        <f t="shared" si="2"/>
        <v>0.43600927232090325</v>
      </c>
      <c r="BG22" s="3">
        <f t="shared" si="3"/>
        <v>0.57026229840201237</v>
      </c>
      <c r="BH22" s="520"/>
      <c r="BI22" s="496"/>
      <c r="BJ22" s="496"/>
      <c r="BK22" s="496"/>
      <c r="BL22" s="496"/>
      <c r="BM22" s="496"/>
      <c r="BP22" s="271">
        <f t="shared" si="38"/>
        <v>40817</v>
      </c>
      <c r="BQ22" s="457">
        <f>IF($BA$31="d",'Colony Type'!H49,IF($BA$31="n",'Colony Type'!H77,IF($BA$31="p",'Colony Type'!H105,IF($BA$31="a",'Colony Type'!H133,IF($BA$31="b",'Colony Type'!H161,IF($BA$31="c",'Colony Type'!H189,IF($BA$31="r",'Colony Type'!H217,IF($BA$31="s",'Colony Type'!H245,IF($BA$31="f",'Colony Type'!H273,"error")))))))))</f>
        <v>10</v>
      </c>
      <c r="BR22">
        <f t="shared" si="4"/>
        <v>20000</v>
      </c>
      <c r="BS22" s="81">
        <f>IF($BA$31="d",'Colony Type'!F49,IF($BA$31="n",'Colony Type'!F77,IF($BA$31="p",'Colony Type'!F105,IF($BA$31="a",'Colony Type'!F133,IF($BA$31="b",'Colony Type'!F161,IF($BA$31="c",'Colony Type'!F189,IF($BA$31="r",'Colony Type'!F217,IF($BA$31="s",'Colony Type'!F245,IF($BA$31="f",'Colony Type'!F273,"error")))))))))</f>
        <v>0.5</v>
      </c>
      <c r="BT22" s="17">
        <f t="shared" si="5"/>
        <v>2250</v>
      </c>
      <c r="BU22" s="21">
        <f t="shared" si="6"/>
        <v>0.1125</v>
      </c>
      <c r="BV22">
        <f t="shared" si="39"/>
        <v>1350</v>
      </c>
      <c r="BW22" s="18">
        <f t="shared" si="40"/>
        <v>588.61251763321934</v>
      </c>
      <c r="BX22" s="18">
        <f t="shared" si="7"/>
        <v>112.5</v>
      </c>
      <c r="BY22" s="141">
        <f t="shared" si="41"/>
        <v>15.924010286688311</v>
      </c>
      <c r="BZ22" s="27">
        <f t="shared" si="8"/>
        <v>27.924010286688311</v>
      </c>
      <c r="CA22" s="32">
        <f t="shared" si="9"/>
        <v>0.57026229840201237</v>
      </c>
      <c r="CB22" s="130">
        <f t="shared" si="10"/>
        <v>0.42973770159798763</v>
      </c>
      <c r="CC22" s="28">
        <f t="shared" si="11"/>
        <v>773.16858167108933</v>
      </c>
      <c r="CD22" s="255">
        <f t="shared" si="12"/>
        <v>1350</v>
      </c>
      <c r="CE22" s="80">
        <f>IF($BA$31="d",'Colony Type'!J49,IF($BA$31="n",'Colony Type'!J77,IF($BA$31="p",'Colony Type'!J105,IF($BA$31="a",'Colony Type'!J133,IF($BA$31="b",'Colony Type'!J161,IF($BA$31="c",'Colony Type'!J189,IF($BA$31="r",'Colony Type'!J217,IF($BA$31="s",'Colony Type'!J217,IF($BA$31="f",'Colony Type'!J273,"error")))))))))</f>
        <v>0</v>
      </c>
      <c r="CF22" s="106">
        <f t="shared" si="42"/>
        <v>0</v>
      </c>
      <c r="CG22" s="75">
        <f t="shared" si="43"/>
        <v>0</v>
      </c>
      <c r="CH22" s="102">
        <f t="shared" si="44"/>
        <v>0</v>
      </c>
      <c r="CI22" s="72">
        <f t="shared" si="13"/>
        <v>0</v>
      </c>
      <c r="CJ22" s="73">
        <f t="shared" si="45"/>
        <v>0</v>
      </c>
      <c r="CK22" s="356">
        <f t="shared" si="46"/>
        <v>0</v>
      </c>
      <c r="CL22" s="357">
        <f t="shared" si="47"/>
        <v>0</v>
      </c>
      <c r="CM22" s="73">
        <f t="shared" si="14"/>
        <v>30.924010286688311</v>
      </c>
      <c r="CN22" s="355">
        <v>1</v>
      </c>
      <c r="CO22" s="84">
        <f t="shared" si="15"/>
        <v>4.2749999999999995</v>
      </c>
      <c r="CP22" s="78">
        <f t="shared" si="48"/>
        <v>9.8493837450082944E-2</v>
      </c>
      <c r="CQ22" s="103">
        <f t="shared" si="49"/>
        <v>0.42973770159798763</v>
      </c>
      <c r="CR22" s="71">
        <f t="shared" si="50"/>
        <v>1350</v>
      </c>
      <c r="CS22" s="71">
        <f t="shared" si="16"/>
        <v>773.16858167108933</v>
      </c>
      <c r="CT22" s="74">
        <f t="shared" si="17"/>
        <v>0.57271746790451061</v>
      </c>
      <c r="CU22" s="353">
        <f t="shared" si="51"/>
        <v>0.43600927232090325</v>
      </c>
      <c r="CV22" s="355">
        <f t="shared" si="52"/>
        <v>1.3135412265768616</v>
      </c>
      <c r="CW22" s="76">
        <f t="shared" si="18"/>
        <v>1</v>
      </c>
      <c r="CX22" s="74">
        <f t="shared" si="19"/>
        <v>27.924010286688311</v>
      </c>
      <c r="CY22" s="354">
        <v>1</v>
      </c>
      <c r="CZ22" s="83">
        <f t="shared" si="53"/>
        <v>2.2586249999999999</v>
      </c>
      <c r="DA22" s="79">
        <f t="shared" si="20"/>
        <v>6.518049768398862E-2</v>
      </c>
      <c r="DB22" s="112">
        <f t="shared" si="21"/>
        <v>2.8010517263730224E-2</v>
      </c>
      <c r="DC22" s="55">
        <f t="shared" si="22"/>
        <v>-5.0125418235442863E-3</v>
      </c>
      <c r="DD22" s="133">
        <f t="shared" si="23"/>
        <v>2.2997975440185937E-2</v>
      </c>
      <c r="DE22" s="467">
        <f t="shared" si="54"/>
        <v>546.49139261167352</v>
      </c>
      <c r="DF22" s="378">
        <f t="shared" si="69"/>
        <v>1799.1639523273093</v>
      </c>
      <c r="DG22" s="240">
        <f t="shared" si="24"/>
        <v>1259.4147666291165</v>
      </c>
      <c r="DH22" s="240">
        <f t="shared" si="70"/>
        <v>1028.9598899768266</v>
      </c>
      <c r="DJ22" s="17">
        <f t="shared" si="25"/>
        <v>2345.655344938983</v>
      </c>
      <c r="DK22" s="266">
        <f t="shared" si="55"/>
        <v>172.16914813827952</v>
      </c>
      <c r="DL22" s="135">
        <f t="shared" si="26"/>
        <v>2173.4861968007035</v>
      </c>
      <c r="DM22" s="244">
        <f>'Mite Immigration'!C30</f>
        <v>30</v>
      </c>
      <c r="DN22" s="137">
        <f t="shared" si="56"/>
        <v>-407.49650510485094</v>
      </c>
      <c r="DO22" s="98">
        <f t="shared" si="64"/>
        <v>-377.49650510485094</v>
      </c>
      <c r="DP22" s="265">
        <f t="shared" si="27"/>
        <v>1795.9896916958526</v>
      </c>
      <c r="DQ22" s="393">
        <f>FC$32</f>
        <v>0</v>
      </c>
      <c r="DR22" s="135">
        <f t="shared" si="57"/>
        <v>0</v>
      </c>
      <c r="DS22" s="95">
        <f t="shared" si="28"/>
        <v>1795.9896916958526</v>
      </c>
      <c r="DT22" s="29">
        <f t="shared" si="29"/>
        <v>-1.161110662723213E-4</v>
      </c>
      <c r="DU22" s="271">
        <f t="shared" si="30"/>
        <v>40817</v>
      </c>
      <c r="DV22" s="89">
        <f t="shared" si="31"/>
        <v>1025.9953706562201</v>
      </c>
      <c r="DW22" s="29">
        <f t="shared" si="32"/>
        <v>5.1299768532811006E-2</v>
      </c>
      <c r="DX22" s="145">
        <f t="shared" si="33"/>
        <v>16.159427087835468</v>
      </c>
      <c r="DY22" t="str">
        <f t="shared" si="65"/>
        <v/>
      </c>
      <c r="DZ22" t="str">
        <f t="shared" si="66"/>
        <v/>
      </c>
      <c r="EB22">
        <f t="shared" si="68"/>
        <v>0</v>
      </c>
      <c r="EC22" s="17">
        <f t="shared" si="58"/>
        <v>9239.0625</v>
      </c>
      <c r="ED22" s="18">
        <f t="shared" si="59"/>
        <v>-4000</v>
      </c>
      <c r="EE22" s="264">
        <f t="shared" si="60"/>
        <v>13239.0625</v>
      </c>
      <c r="EF22" s="264">
        <f t="shared" si="67"/>
        <v>870.5136986301369</v>
      </c>
      <c r="EG22" s="104">
        <f t="shared" si="61"/>
        <v>0.6</v>
      </c>
      <c r="EH22" s="263">
        <f t="shared" si="62"/>
        <v>407.49650510485094</v>
      </c>
      <c r="EJ22" s="17">
        <f t="shared" si="63"/>
        <v>546.49139261167352</v>
      </c>
      <c r="EK22" s="164">
        <f>FC$57</f>
        <v>623.4954451648639</v>
      </c>
      <c r="EL22" s="37">
        <f>FB$59</f>
        <v>0.1857212508682195</v>
      </c>
      <c r="EP22" s="2">
        <v>40817</v>
      </c>
      <c r="EQ22" s="259">
        <v>43191</v>
      </c>
      <c r="EU22" s="18"/>
      <c r="EV22" s="18"/>
      <c r="FB22" s="18">
        <f>AA20</f>
        <v>0</v>
      </c>
    </row>
    <row r="23" spans="1:164" ht="12.65" customHeight="1" x14ac:dyDescent="0.4">
      <c r="B23" s="409" t="s">
        <v>347</v>
      </c>
      <c r="C23" s="410">
        <v>0</v>
      </c>
      <c r="D23" s="411">
        <f>'Brood break'!BD5</f>
        <v>0</v>
      </c>
      <c r="E23" s="411">
        <f>'Brood break'!BD6</f>
        <v>0</v>
      </c>
      <c r="F23" s="411">
        <f>'Brood break'!BD7</f>
        <v>0</v>
      </c>
      <c r="G23" s="411">
        <f>'Brood break'!BD8</f>
        <v>0</v>
      </c>
      <c r="H23" s="411">
        <f>'Brood break'!BD9</f>
        <v>0</v>
      </c>
      <c r="I23" s="411">
        <f>'Brood break'!BD10</f>
        <v>0</v>
      </c>
      <c r="J23" s="411">
        <f>'Brood break'!BD11</f>
        <v>0</v>
      </c>
      <c r="K23" s="411">
        <f>'Brood break'!BD12</f>
        <v>0</v>
      </c>
      <c r="L23" s="411">
        <f>'Brood break'!BD13</f>
        <v>0</v>
      </c>
      <c r="M23" s="411">
        <f>'Brood break'!BD14</f>
        <v>2</v>
      </c>
      <c r="N23" s="411">
        <f>'Brood break'!BD15</f>
        <v>3</v>
      </c>
      <c r="O23" s="411">
        <f>'Brood break'!BD16</f>
        <v>5</v>
      </c>
      <c r="P23" s="411">
        <f>'Brood break'!BD17</f>
        <v>10</v>
      </c>
      <c r="Q23" s="411">
        <f>'Brood break'!BD18</f>
        <v>15</v>
      </c>
      <c r="R23" s="411">
        <f>'Brood break'!BD19</f>
        <v>30</v>
      </c>
      <c r="S23" s="411">
        <f>'Brood break'!BD20</f>
        <v>40</v>
      </c>
      <c r="T23" s="411">
        <f>'Brood break'!BD21</f>
        <v>50</v>
      </c>
      <c r="U23" s="411">
        <f>'Brood break'!BD22</f>
        <v>30</v>
      </c>
      <c r="V23" s="411">
        <f>'Brood break'!BD23</f>
        <v>10</v>
      </c>
      <c r="W23" s="411" t="str">
        <f>'Brood break'!BD24</f>
        <v/>
      </c>
      <c r="X23" s="411" t="str">
        <f>'Brood break'!BD25</f>
        <v/>
      </c>
      <c r="Y23" s="411" t="str">
        <f>'Brood break'!BD26</f>
        <v/>
      </c>
      <c r="Z23" s="425">
        <f>SUM(D23:Y23)</f>
        <v>195</v>
      </c>
      <c r="AA23" s="426" t="s">
        <v>361</v>
      </c>
      <c r="AB23" s="577"/>
      <c r="AC23" s="577"/>
      <c r="AD23" s="481"/>
      <c r="AE23" s="486">
        <f t="shared" si="34"/>
        <v>40831</v>
      </c>
      <c r="AF23" s="291"/>
      <c r="BA23" s="406">
        <f t="shared" si="35"/>
        <v>40831</v>
      </c>
      <c r="BB23" s="59">
        <f t="shared" si="0"/>
        <v>1795.9896916958526</v>
      </c>
      <c r="BC23" s="301">
        <f t="shared" si="36"/>
        <v>-1.0368071008685071E-2</v>
      </c>
      <c r="BD23" s="233">
        <f t="shared" si="1"/>
        <v>10</v>
      </c>
      <c r="BE23" s="123">
        <f t="shared" si="37"/>
        <v>20.788988773868169</v>
      </c>
      <c r="BF23" s="4">
        <f t="shared" si="2"/>
        <v>0.89481427576344097</v>
      </c>
      <c r="BG23" s="3">
        <f t="shared" si="3"/>
        <v>0.6614415556739095</v>
      </c>
      <c r="BH23" s="499" t="s">
        <v>342</v>
      </c>
      <c r="BI23" s="555" t="s">
        <v>343</v>
      </c>
      <c r="BJ23" s="556"/>
      <c r="BK23" s="556"/>
      <c r="BL23" s="556"/>
      <c r="BM23" s="557"/>
      <c r="BP23" s="271">
        <f t="shared" si="38"/>
        <v>40831</v>
      </c>
      <c r="BQ23" s="457">
        <f>IF($BA$31="d",'Colony Type'!H50,IF($BA$31="n",'Colony Type'!H78,IF($BA$31="p",'Colony Type'!H106,IF($BA$31="a",'Colony Type'!H134,IF($BA$31="b",'Colony Type'!H162,IF($BA$31="c",'Colony Type'!H190,IF($BA$31="r",'Colony Type'!H218,IF($BA$31="s",'Colony Type'!H246,IF($BA$31="f",'Colony Type'!H274,"error")))))))))</f>
        <v>9</v>
      </c>
      <c r="BR23">
        <f t="shared" si="4"/>
        <v>18000</v>
      </c>
      <c r="BS23" s="81">
        <f>IF($BA$31="d",'Colony Type'!F50,IF($BA$31="n",'Colony Type'!F78,IF($BA$31="p",'Colony Type'!F106,IF($BA$31="a",'Colony Type'!F134,IF($BA$31="b",'Colony Type'!F162,IF($BA$31="c",'Colony Type'!F190,IF($BA$31="r",'Colony Type'!F218,IF($BA$31="s",'Colony Type'!F246,IF($BA$31="f",'Colony Type'!F274,"error")))))))))</f>
        <v>0.1</v>
      </c>
      <c r="BT23" s="17">
        <f t="shared" si="5"/>
        <v>450</v>
      </c>
      <c r="BU23" s="21">
        <f t="shared" si="6"/>
        <v>2.5000000000000001E-2</v>
      </c>
      <c r="BV23">
        <f t="shared" si="39"/>
        <v>270</v>
      </c>
      <c r="BW23" s="18">
        <f t="shared" si="40"/>
        <v>241.59985445612907</v>
      </c>
      <c r="BX23" s="18">
        <f t="shared" si="7"/>
        <v>22.5</v>
      </c>
      <c r="BY23" s="141">
        <f t="shared" si="41"/>
        <v>23.444397270569681</v>
      </c>
      <c r="BZ23" s="27">
        <f t="shared" si="8"/>
        <v>35.444397270569681</v>
      </c>
      <c r="CA23" s="32">
        <f t="shared" si="9"/>
        <v>0.6614415556739095</v>
      </c>
      <c r="CB23" s="130">
        <f t="shared" si="10"/>
        <v>0.3385584443260905</v>
      </c>
      <c r="CC23" s="28">
        <f t="shared" si="11"/>
        <v>608.04747604624276</v>
      </c>
      <c r="CD23" s="255">
        <f t="shared" si="12"/>
        <v>270</v>
      </c>
      <c r="CE23" s="80">
        <f>IF($BA$31="d",'Colony Type'!J50,IF($BA$31="n",'Colony Type'!J78,IF($BA$31="p",'Colony Type'!J106,IF($BA$31="a",'Colony Type'!J134,IF($BA$31="b",'Colony Type'!J162,IF($BA$31="c",'Colony Type'!J190,IF($BA$31="r",'Colony Type'!J218,IF($BA$31="s",'Colony Type'!J218,IF($BA$31="f",'Colony Type'!J274,"error")))))))))</f>
        <v>0</v>
      </c>
      <c r="CF23" s="106">
        <f t="shared" si="42"/>
        <v>0</v>
      </c>
      <c r="CG23" s="75">
        <f t="shared" si="43"/>
        <v>0</v>
      </c>
      <c r="CH23" s="102">
        <f t="shared" si="44"/>
        <v>0</v>
      </c>
      <c r="CI23" s="72">
        <f t="shared" si="13"/>
        <v>0</v>
      </c>
      <c r="CJ23" s="73">
        <f t="shared" si="45"/>
        <v>0</v>
      </c>
      <c r="CK23" s="356">
        <f t="shared" si="46"/>
        <v>0</v>
      </c>
      <c r="CL23" s="357">
        <f t="shared" si="47"/>
        <v>0</v>
      </c>
      <c r="CM23" s="73">
        <f t="shared" si="14"/>
        <v>38.444397270569681</v>
      </c>
      <c r="CN23" s="355">
        <v>1</v>
      </c>
      <c r="CO23" s="84">
        <f t="shared" si="15"/>
        <v>4.2749999999999995</v>
      </c>
      <c r="CP23" s="78">
        <f t="shared" si="48"/>
        <v>9.8493837450082944E-2</v>
      </c>
      <c r="CQ23" s="103">
        <f t="shared" si="49"/>
        <v>0.3385584443260905</v>
      </c>
      <c r="CR23" s="71">
        <f t="shared" si="50"/>
        <v>270</v>
      </c>
      <c r="CS23" s="71">
        <f t="shared" si="16"/>
        <v>608.04747604624276</v>
      </c>
      <c r="CT23" s="74">
        <f t="shared" si="17"/>
        <v>2.2520276890601583</v>
      </c>
      <c r="CU23" s="353">
        <f t="shared" si="51"/>
        <v>0.89481427576344097</v>
      </c>
      <c r="CV23" s="355">
        <f t="shared" si="52"/>
        <v>2.5167515017429345</v>
      </c>
      <c r="CW23" s="76">
        <f t="shared" si="18"/>
        <v>1</v>
      </c>
      <c r="CX23" s="74">
        <f t="shared" si="19"/>
        <v>35.444397270569681</v>
      </c>
      <c r="CY23" s="354">
        <v>1</v>
      </c>
      <c r="CZ23" s="83">
        <f t="shared" si="53"/>
        <v>2.2586249999999999</v>
      </c>
      <c r="DA23" s="79">
        <f t="shared" si="20"/>
        <v>0</v>
      </c>
      <c r="DB23" s="112">
        <f t="shared" si="21"/>
        <v>0</v>
      </c>
      <c r="DC23" s="55">
        <f t="shared" si="22"/>
        <v>-5.0125418235442863E-3</v>
      </c>
      <c r="DD23" s="133">
        <f t="shared" si="23"/>
        <v>-5.0125418235442863E-3</v>
      </c>
      <c r="DE23" s="467">
        <f t="shared" si="54"/>
        <v>0</v>
      </c>
      <c r="DF23" s="378">
        <f t="shared" si="69"/>
        <v>1795.9896916958526</v>
      </c>
      <c r="DG23" s="240">
        <f t="shared" si="24"/>
        <v>1257.1927841870968</v>
      </c>
      <c r="DH23" s="240">
        <f t="shared" si="70"/>
        <v>1023.7053677253696</v>
      </c>
      <c r="DJ23" s="17">
        <f t="shared" si="25"/>
        <v>1795.9896916958526</v>
      </c>
      <c r="DK23" s="266">
        <f t="shared" si="55"/>
        <v>131.82414712015157</v>
      </c>
      <c r="DL23" s="135">
        <f t="shared" si="26"/>
        <v>1664.165544575701</v>
      </c>
      <c r="DM23" s="244">
        <f>'Mite Immigration'!C31</f>
        <v>10</v>
      </c>
      <c r="DN23" s="137">
        <f t="shared" si="56"/>
        <v>-140.17099424761409</v>
      </c>
      <c r="DO23" s="98">
        <f t="shared" si="64"/>
        <v>-130.17099424761409</v>
      </c>
      <c r="DP23" s="265">
        <f t="shared" si="27"/>
        <v>1533.9945503280869</v>
      </c>
      <c r="DQ23" s="393">
        <f>FD$32</f>
        <v>0</v>
      </c>
      <c r="DR23" s="135">
        <f t="shared" si="57"/>
        <v>0</v>
      </c>
      <c r="DS23" s="95">
        <f t="shared" si="28"/>
        <v>1533.9945503280869</v>
      </c>
      <c r="DT23" s="29">
        <f t="shared" si="29"/>
        <v>-1.0368071008685071E-2</v>
      </c>
      <c r="DU23" s="271">
        <f t="shared" si="30"/>
        <v>40831</v>
      </c>
      <c r="DV23" s="89">
        <f t="shared" si="31"/>
        <v>1187.9422156496098</v>
      </c>
      <c r="DW23" s="29">
        <f t="shared" si="32"/>
        <v>6.599678975831165E-2</v>
      </c>
      <c r="DX23" s="145">
        <f t="shared" si="33"/>
        <v>20.788988773868169</v>
      </c>
      <c r="DY23" t="str">
        <f t="shared" si="65"/>
        <v/>
      </c>
      <c r="DZ23" t="str">
        <f t="shared" si="66"/>
        <v/>
      </c>
      <c r="EB23">
        <f t="shared" si="68"/>
        <v>0</v>
      </c>
      <c r="EC23" s="17">
        <f t="shared" si="58"/>
        <v>1539.84375</v>
      </c>
      <c r="ED23" s="18">
        <f t="shared" si="59"/>
        <v>-2000</v>
      </c>
      <c r="EE23" s="264">
        <f t="shared" si="60"/>
        <v>3539.84375</v>
      </c>
      <c r="EF23" s="264">
        <f t="shared" si="67"/>
        <v>232.75684931506848</v>
      </c>
      <c r="EG23" s="104">
        <f t="shared" si="61"/>
        <v>0.6</v>
      </c>
      <c r="EH23" s="263">
        <f t="shared" si="62"/>
        <v>140.17099424761409</v>
      </c>
      <c r="EJ23" s="17">
        <f t="shared" si="63"/>
        <v>0</v>
      </c>
      <c r="EK23" s="164">
        <f>FD$57</f>
        <v>806.16419818466215</v>
      </c>
      <c r="EL23" s="37">
        <f>FC$59</f>
        <v>0.21188122382677294</v>
      </c>
      <c r="EP23" s="2">
        <v>40831</v>
      </c>
      <c r="EQ23" s="259">
        <v>43205</v>
      </c>
      <c r="ET23">
        <v>25.83</v>
      </c>
      <c r="EU23" s="18"/>
      <c r="EV23" s="18"/>
    </row>
    <row r="24" spans="1:164" ht="12.75" customHeight="1" x14ac:dyDescent="0.4">
      <c r="B24" s="349" t="s">
        <v>94</v>
      </c>
      <c r="C24" s="416">
        <f>1-'Brood break'!BG4</f>
        <v>0.30709911469777329</v>
      </c>
      <c r="D24" s="416">
        <f>1-'Brood break'!BG5</f>
        <v>0.30709911469777329</v>
      </c>
      <c r="E24" s="416">
        <f>1-'Brood break'!BG6</f>
        <v>0.30709911469777329</v>
      </c>
      <c r="F24" s="416">
        <f>1-'Brood break'!BG7</f>
        <v>0.30709911469777329</v>
      </c>
      <c r="G24" s="416">
        <f>1-'Brood break'!BG8</f>
        <v>0.3124375492614615</v>
      </c>
      <c r="H24" s="416">
        <f>1-'Brood break'!BG9</f>
        <v>0.47300180271247205</v>
      </c>
      <c r="I24" s="416">
        <f>1-'Brood break'!BG10</f>
        <v>0.54784148420074841</v>
      </c>
      <c r="J24" s="416">
        <f>1-'Brood break'!BG11</f>
        <v>0.8659910150039587</v>
      </c>
      <c r="K24" s="416">
        <f>1-'Brood break'!BG12</f>
        <v>0.81473454824975156</v>
      </c>
      <c r="L24" s="416">
        <f>1-'Brood break'!BG13</f>
        <v>0.73121308739562751</v>
      </c>
      <c r="M24" s="416">
        <f>1-'Brood break'!BG14</f>
        <v>0.68466566827566644</v>
      </c>
      <c r="N24" s="416">
        <f>1-'Brood break'!BG15</f>
        <v>0.65081532324296698</v>
      </c>
      <c r="O24" s="416">
        <f>1-'Brood break'!BG16</f>
        <v>0.59180252123775623</v>
      </c>
      <c r="P24" s="416">
        <f>1-'Brood break'!BG17</f>
        <v>0.56634115454232203</v>
      </c>
      <c r="Q24" s="416">
        <f>1-'Brood break'!BG18</f>
        <v>0.55763789267006758</v>
      </c>
      <c r="R24" s="416">
        <f>1-'Brood break'!BG19</f>
        <v>0.57163167812269144</v>
      </c>
      <c r="S24" s="416">
        <f>1-'Brood break'!BG20</f>
        <v>0.60371827901019159</v>
      </c>
      <c r="T24" s="416">
        <f>1-'Brood break'!BG21</f>
        <v>0.60371827901019159</v>
      </c>
      <c r="U24" s="416">
        <f>1-'Brood break'!BG22</f>
        <v>0.42973770159798763</v>
      </c>
      <c r="V24" s="416">
        <f>1-'Brood break'!BG23</f>
        <v>0.3385584443260905</v>
      </c>
      <c r="W24" s="416" t="e">
        <f>1-'Brood break'!BG24</f>
        <v>#VALUE!</v>
      </c>
      <c r="X24" s="416" t="e">
        <f>1-'Brood break'!BG25</f>
        <v>#VALUE!</v>
      </c>
      <c r="Y24" s="416" t="e">
        <f>1-'Brood break'!BG26</f>
        <v>#VALUE!</v>
      </c>
      <c r="Z24" s="416" t="e">
        <f>1-'Brood break'!BG27</f>
        <v>#VALUE!</v>
      </c>
      <c r="AA24" s="417" t="e">
        <f>1-'Brood break'!BG28</f>
        <v>#VALUE!</v>
      </c>
      <c r="AB24" s="577"/>
      <c r="AC24" s="577"/>
      <c r="AD24" s="482"/>
      <c r="AE24" s="486">
        <f t="shared" si="34"/>
        <v>40848</v>
      </c>
      <c r="AF24" s="291"/>
      <c r="AG24" s="563" t="s">
        <v>207</v>
      </c>
      <c r="AH24" s="563"/>
      <c r="AI24" s="563"/>
      <c r="AJ24" s="563"/>
      <c r="AK24" s="563"/>
      <c r="AL24" s="563"/>
      <c r="AM24" s="563"/>
      <c r="AN24" s="563"/>
      <c r="AO24" s="563"/>
      <c r="AP24" s="563"/>
      <c r="AQ24" s="563"/>
      <c r="AR24" s="563"/>
      <c r="AS24" s="563"/>
      <c r="AT24" s="563"/>
      <c r="AU24" s="563"/>
      <c r="AV24" s="564"/>
      <c r="AW24" s="603">
        <f>LN(BB21/BB11)/(BA21-BA11)</f>
        <v>1.4454215811899483E-2</v>
      </c>
      <c r="AX24" s="604"/>
      <c r="BA24" s="406">
        <f t="shared" si="35"/>
        <v>40848</v>
      </c>
      <c r="BB24" s="59" t="str">
        <f t="shared" si="0"/>
        <v/>
      </c>
      <c r="BC24" s="301" t="str">
        <f t="shared" si="36"/>
        <v/>
      </c>
      <c r="BD24" s="233" t="str">
        <f t="shared" si="1"/>
        <v/>
      </c>
      <c r="BE24" s="123" t="str">
        <f t="shared" si="37"/>
        <v/>
      </c>
      <c r="BF24" s="4" t="str">
        <f t="shared" si="2"/>
        <v/>
      </c>
      <c r="BG24" s="3" t="str">
        <f t="shared" si="3"/>
        <v/>
      </c>
      <c r="BH24" s="498"/>
      <c r="BI24" s="558"/>
      <c r="BJ24" s="559"/>
      <c r="BK24" s="559"/>
      <c r="BL24" s="559"/>
      <c r="BM24" s="560"/>
      <c r="BP24" s="271">
        <f t="shared" si="38"/>
        <v>40848</v>
      </c>
      <c r="BQ24" s="457">
        <f>IF($BA$31="d",'Colony Type'!H51,IF($BA$31="n",'Colony Type'!H79,IF($BA$31="p",'Colony Type'!H107,IF($BA$31="a",'Colony Type'!H135,IF($BA$31="b",'Colony Type'!H163,IF($BA$31="c",'Colony Type'!H191,IF($BA$31="r",'Colony Type'!H219,IF($BA$31="s",'Colony Type'!H247,IF($BA$31="f",'Colony Type'!H275,"error")))))))))</f>
        <v>8</v>
      </c>
      <c r="BR24">
        <f t="shared" si="4"/>
        <v>16000</v>
      </c>
      <c r="BS24" s="81">
        <f>IF($BA$31="d",'Colony Type'!F51,IF($BA$31="n",'Colony Type'!F79,IF($BA$31="p",'Colony Type'!F107,IF($BA$31="a",'Colony Type'!F135,IF($BA$31="b",'Colony Type'!F163,IF($BA$31="c",'Colony Type'!F191,IF($BA$31="r",'Colony Type'!F219,IF($BA$31="s",'Colony Type'!F247,IF($BA$31="f",'Colony Type'!F275,"error")))))))))</f>
        <v>0</v>
      </c>
      <c r="BT24" s="17">
        <f t="shared" si="5"/>
        <v>1</v>
      </c>
      <c r="BU24" s="21">
        <f t="shared" si="6"/>
        <v>6.2500000000000001E-5</v>
      </c>
      <c r="BV24">
        <f t="shared" si="39"/>
        <v>0.6</v>
      </c>
      <c r="BW24" s="18">
        <f t="shared" si="40"/>
        <v>0</v>
      </c>
      <c r="BX24" s="18">
        <f t="shared" si="7"/>
        <v>0.05</v>
      </c>
      <c r="BY24" s="141">
        <f t="shared" si="41"/>
        <v>53.401720006109592</v>
      </c>
      <c r="BZ24" s="27">
        <f t="shared" si="8"/>
        <v>65.401720006109599</v>
      </c>
      <c r="CA24" s="32">
        <f t="shared" si="9"/>
        <v>1</v>
      </c>
      <c r="CB24" s="130">
        <f t="shared" si="10"/>
        <v>0</v>
      </c>
      <c r="CC24" s="28">
        <f t="shared" si="11"/>
        <v>0</v>
      </c>
      <c r="CD24" s="255">
        <f t="shared" si="12"/>
        <v>0.6</v>
      </c>
      <c r="CE24" s="80">
        <f>IF($BA$31="d",'Colony Type'!J51,IF($BA$31="n",'Colony Type'!J79,IF($BA$31="p",'Colony Type'!J107,IF($BA$31="a",'Colony Type'!J135,IF($BA$31="b",'Colony Type'!J163,IF($BA$31="c",'Colony Type'!J191,IF($BA$31="r",'Colony Type'!J219,IF($BA$31="s",'Colony Type'!J219,IF($BA$31="f",'Colony Type'!J275,"error")))))))))</f>
        <v>0</v>
      </c>
      <c r="CF24" s="106">
        <f t="shared" si="42"/>
        <v>0</v>
      </c>
      <c r="CG24" s="75">
        <f t="shared" si="43"/>
        <v>0</v>
      </c>
      <c r="CH24" s="102">
        <f t="shared" si="44"/>
        <v>0</v>
      </c>
      <c r="CI24" s="72">
        <f t="shared" si="13"/>
        <v>0</v>
      </c>
      <c r="CJ24" s="73">
        <f t="shared" si="45"/>
        <v>0</v>
      </c>
      <c r="CK24" s="356">
        <f t="shared" si="46"/>
        <v>0</v>
      </c>
      <c r="CL24" s="357">
        <f t="shared" si="47"/>
        <v>0</v>
      </c>
      <c r="CM24" s="73">
        <f t="shared" si="14"/>
        <v>68.401720006109599</v>
      </c>
      <c r="CN24" s="355">
        <v>1</v>
      </c>
      <c r="CO24" s="84">
        <f t="shared" si="15"/>
        <v>4.2749999999999995</v>
      </c>
      <c r="CP24" s="78">
        <f t="shared" si="48"/>
        <v>9.8493837450082944E-2</v>
      </c>
      <c r="CQ24" s="103">
        <f t="shared" si="49"/>
        <v>0</v>
      </c>
      <c r="CR24" s="71">
        <f t="shared" si="50"/>
        <v>0.6</v>
      </c>
      <c r="CS24" s="71">
        <f t="shared" si="16"/>
        <v>0</v>
      </c>
      <c r="CT24" s="74">
        <f t="shared" si="17"/>
        <v>0</v>
      </c>
      <c r="CU24" s="353">
        <f t="shared" si="51"/>
        <v>0</v>
      </c>
      <c r="CV24" s="355">
        <f t="shared" si="52"/>
        <v>0</v>
      </c>
      <c r="CW24" s="76">
        <f t="shared" si="18"/>
        <v>1</v>
      </c>
      <c r="CX24" s="74">
        <f t="shared" si="19"/>
        <v>65.401720006109599</v>
      </c>
      <c r="CY24" s="354">
        <v>1</v>
      </c>
      <c r="CZ24" s="83">
        <f t="shared" si="53"/>
        <v>2.2586249999999999</v>
      </c>
      <c r="DA24" s="79">
        <f t="shared" si="20"/>
        <v>0</v>
      </c>
      <c r="DB24" s="112">
        <f t="shared" si="21"/>
        <v>0</v>
      </c>
      <c r="DC24" s="55">
        <f t="shared" si="22"/>
        <v>-5.0125418235442863E-3</v>
      </c>
      <c r="DD24" s="133">
        <f t="shared" si="23"/>
        <v>-5.0125418235442863E-3</v>
      </c>
      <c r="DE24" s="467">
        <f t="shared" si="54"/>
        <v>0</v>
      </c>
      <c r="DF24" s="378">
        <f t="shared" si="69"/>
        <v>1533.9945503280869</v>
      </c>
      <c r="DG24" s="240">
        <f t="shared" si="24"/>
        <v>1073.7961852296608</v>
      </c>
      <c r="DH24" s="240">
        <f t="shared" si="70"/>
        <v>846.27893536268016</v>
      </c>
      <c r="DJ24" s="17">
        <f t="shared" si="25"/>
        <v>1533.9945503280869</v>
      </c>
      <c r="DK24" s="266">
        <f t="shared" si="55"/>
        <v>112.59392201356013</v>
      </c>
      <c r="DL24" s="135">
        <f t="shared" si="26"/>
        <v>1421.4006283145268</v>
      </c>
      <c r="DM24" s="244">
        <f>'Mite Immigration'!C32</f>
        <v>5</v>
      </c>
      <c r="DN24" s="137">
        <f t="shared" si="56"/>
        <v>-132.76543068103226</v>
      </c>
      <c r="DO24" s="98">
        <f t="shared" si="64"/>
        <v>-127.76543068103226</v>
      </c>
      <c r="DP24" s="265">
        <f t="shared" si="27"/>
        <v>1293.6351976334945</v>
      </c>
      <c r="DQ24" s="393">
        <f>FE$32</f>
        <v>0</v>
      </c>
      <c r="DR24" s="135">
        <f t="shared" si="57"/>
        <v>0</v>
      </c>
      <c r="DS24" s="95">
        <f t="shared" si="28"/>
        <v>1293.6351976334945</v>
      </c>
      <c r="DT24" s="29">
        <f t="shared" si="29"/>
        <v>-1.1205627115656498E-2</v>
      </c>
      <c r="DU24" s="271">
        <f t="shared" si="30"/>
        <v>40848</v>
      </c>
      <c r="DV24" s="89">
        <f t="shared" si="31"/>
        <v>1533.9945503280869</v>
      </c>
      <c r="DW24" s="29">
        <f t="shared" si="32"/>
        <v>9.5874659395505435E-2</v>
      </c>
      <c r="DX24" s="145">
        <f t="shared" si="33"/>
        <v>30.200517709584211</v>
      </c>
      <c r="DY24" t="str">
        <f t="shared" si="65"/>
        <v/>
      </c>
      <c r="DZ24">
        <f t="shared" si="66"/>
        <v>100</v>
      </c>
      <c r="EA24">
        <f>IF(DX$21&gt;60,100,0)</f>
        <v>0</v>
      </c>
      <c r="EB24">
        <f t="shared" si="68"/>
        <v>100</v>
      </c>
      <c r="EC24" s="17">
        <f t="shared" si="58"/>
        <v>307.96875</v>
      </c>
      <c r="ED24" s="18">
        <f t="shared" si="59"/>
        <v>-2000</v>
      </c>
      <c r="EE24" s="264">
        <f t="shared" si="60"/>
        <v>2307.96875</v>
      </c>
      <c r="EF24" s="264">
        <f t="shared" si="67"/>
        <v>151.75684931506848</v>
      </c>
      <c r="EG24" s="104">
        <f t="shared" si="61"/>
        <v>0.6</v>
      </c>
      <c r="EH24" s="263">
        <f t="shared" si="62"/>
        <v>132.76543068103226</v>
      </c>
      <c r="EJ24" s="17">
        <f t="shared" si="63"/>
        <v>0</v>
      </c>
      <c r="EK24" s="164">
        <f>FE$57</f>
        <v>1042.7124499317224</v>
      </c>
      <c r="EL24" s="37">
        <f>FD$59</f>
        <v>0.29983817706721044</v>
      </c>
      <c r="EP24" s="2">
        <v>40848</v>
      </c>
      <c r="EQ24" s="259">
        <v>43221</v>
      </c>
      <c r="EU24" s="18"/>
      <c r="EV24" s="18"/>
    </row>
    <row r="25" spans="1:164" ht="13" customHeight="1" x14ac:dyDescent="0.4">
      <c r="B25" s="407"/>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c r="AC25" s="407"/>
      <c r="AD25" s="481"/>
      <c r="AE25" s="486">
        <f t="shared" si="34"/>
        <v>40862</v>
      </c>
      <c r="AF25" s="291"/>
      <c r="AG25" s="566" t="s">
        <v>203</v>
      </c>
      <c r="AH25" s="566"/>
      <c r="AI25" s="566"/>
      <c r="AJ25" s="566"/>
      <c r="AK25" s="566"/>
      <c r="AL25" s="566"/>
      <c r="AM25" s="566"/>
      <c r="AN25" s="566"/>
      <c r="AO25" s="566"/>
      <c r="AP25" s="566"/>
      <c r="AQ25" s="566"/>
      <c r="AR25" s="566"/>
      <c r="AS25" s="566"/>
      <c r="AT25" s="566"/>
      <c r="AU25" s="566"/>
      <c r="AV25" s="567"/>
      <c r="AW25" s="605" t="s">
        <v>146</v>
      </c>
      <c r="AX25" s="606"/>
      <c r="BA25" s="406">
        <f t="shared" si="35"/>
        <v>40862</v>
      </c>
      <c r="BB25" s="59" t="str">
        <f t="shared" si="0"/>
        <v/>
      </c>
      <c r="BC25" s="301" t="str">
        <f t="shared" si="36"/>
        <v/>
      </c>
      <c r="BD25" s="233" t="str">
        <f t="shared" si="1"/>
        <v/>
      </c>
      <c r="BE25" s="123" t="str">
        <f t="shared" si="37"/>
        <v/>
      </c>
      <c r="BF25" s="4" t="str">
        <f t="shared" si="2"/>
        <v/>
      </c>
      <c r="BG25" s="3" t="str">
        <f t="shared" si="3"/>
        <v/>
      </c>
      <c r="BM25" s="37"/>
      <c r="BP25" s="271">
        <f t="shared" si="38"/>
        <v>40862</v>
      </c>
      <c r="BQ25" s="457">
        <f>IF($BA$31="d",'Colony Type'!H52,IF($BA$31="n",'Colony Type'!H80,IF($BA$31="p",'Colony Type'!H108,IF($BA$31="a",'Colony Type'!H136,IF($BA$31="b",'Colony Type'!H164,IF($BA$31="c",'Colony Type'!H192,IF($BA$31="r",'Colony Type'!H220,IF($BA$31="s",'Colony Type'!H248,IF($BA$31="f",'Colony Type'!H276,"error")))))))))</f>
        <v>8</v>
      </c>
      <c r="BR25">
        <f t="shared" si="4"/>
        <v>16000</v>
      </c>
      <c r="BS25" s="81">
        <f>IF($BA$31="d",'Colony Type'!F52,IF($BA$31="n",'Colony Type'!F80,IF($BA$31="p",'Colony Type'!F108,IF($BA$31="a",'Colony Type'!F136,IF($BA$31="b",'Colony Type'!F164,IF($BA$31="c",'Colony Type'!F192,IF($BA$31="r",'Colony Type'!F220,IF($BA$31="s",'Colony Type'!F248,IF($BA$31="f",'Colony Type'!F276,"error")))))))))</f>
        <v>0</v>
      </c>
      <c r="BT25" s="17">
        <f t="shared" si="5"/>
        <v>1</v>
      </c>
      <c r="BU25" s="21">
        <f t="shared" si="6"/>
        <v>6.2500000000000001E-5</v>
      </c>
      <c r="BV25">
        <f t="shared" si="39"/>
        <v>0.6</v>
      </c>
      <c r="BW25" s="18">
        <f t="shared" si="40"/>
        <v>0</v>
      </c>
      <c r="BX25" s="18">
        <f t="shared" si="7"/>
        <v>0.05</v>
      </c>
      <c r="BY25" s="141">
        <f t="shared" si="41"/>
        <v>53.401720006109592</v>
      </c>
      <c r="BZ25" s="27">
        <f t="shared" si="8"/>
        <v>65.401720006109599</v>
      </c>
      <c r="CA25" s="32">
        <f t="shared" si="9"/>
        <v>1</v>
      </c>
      <c r="CB25" s="130">
        <f t="shared" si="10"/>
        <v>0</v>
      </c>
      <c r="CC25" s="28">
        <f t="shared" si="11"/>
        <v>0</v>
      </c>
      <c r="CD25" s="255">
        <f t="shared" si="12"/>
        <v>0.6</v>
      </c>
      <c r="CE25" s="80">
        <f>IF($BA$31="d",'Colony Type'!J52,IF($BA$31="n",'Colony Type'!J80,IF($BA$31="p",'Colony Type'!J108,IF($BA$31="a",'Colony Type'!J136,IF($BA$31="b",'Colony Type'!J164,IF($BA$31="c",'Colony Type'!J192,IF($BA$31="r",'Colony Type'!J220,IF($BA$31="s",'Colony Type'!J220,IF($BA$31="f",'Colony Type'!J276,"error")))))))))</f>
        <v>0</v>
      </c>
      <c r="CF25" s="106">
        <f t="shared" si="42"/>
        <v>0</v>
      </c>
      <c r="CG25" s="75">
        <f t="shared" si="43"/>
        <v>0</v>
      </c>
      <c r="CH25" s="102">
        <f t="shared" si="44"/>
        <v>0</v>
      </c>
      <c r="CI25" s="72">
        <f t="shared" si="13"/>
        <v>0</v>
      </c>
      <c r="CJ25" s="73">
        <f t="shared" si="45"/>
        <v>0</v>
      </c>
      <c r="CK25" s="356">
        <f t="shared" si="46"/>
        <v>0</v>
      </c>
      <c r="CL25" s="357">
        <f t="shared" si="47"/>
        <v>0</v>
      </c>
      <c r="CM25" s="73">
        <f t="shared" si="14"/>
        <v>68.401720006109599</v>
      </c>
      <c r="CN25" s="355">
        <v>1</v>
      </c>
      <c r="CO25" s="84">
        <f t="shared" si="15"/>
        <v>4.2749999999999995</v>
      </c>
      <c r="CP25" s="78">
        <f t="shared" si="48"/>
        <v>9.8493837450082944E-2</v>
      </c>
      <c r="CQ25" s="103">
        <f t="shared" si="49"/>
        <v>0</v>
      </c>
      <c r="CR25" s="71">
        <f t="shared" si="50"/>
        <v>0.6</v>
      </c>
      <c r="CS25" s="71">
        <f t="shared" si="16"/>
        <v>0</v>
      </c>
      <c r="CT25" s="74">
        <f t="shared" si="17"/>
        <v>0</v>
      </c>
      <c r="CU25" s="353">
        <f t="shared" si="51"/>
        <v>0</v>
      </c>
      <c r="CV25" s="355">
        <f t="shared" si="52"/>
        <v>0</v>
      </c>
      <c r="CW25" s="76">
        <f t="shared" si="18"/>
        <v>1</v>
      </c>
      <c r="CX25" s="74">
        <f t="shared" si="19"/>
        <v>65.401720006109599</v>
      </c>
      <c r="CY25" s="354">
        <v>1</v>
      </c>
      <c r="CZ25" s="83">
        <f t="shared" si="53"/>
        <v>2.2586249999999999</v>
      </c>
      <c r="DA25" s="79">
        <f t="shared" si="20"/>
        <v>0</v>
      </c>
      <c r="DB25" s="112">
        <f t="shared" si="21"/>
        <v>0</v>
      </c>
      <c r="DC25" s="55">
        <f t="shared" si="22"/>
        <v>-5.0125418235442863E-3</v>
      </c>
      <c r="DD25" s="133">
        <f t="shared" si="23"/>
        <v>-5.0125418235442863E-3</v>
      </c>
      <c r="DE25" s="467">
        <f t="shared" si="54"/>
        <v>0</v>
      </c>
      <c r="DF25" s="378">
        <f t="shared" si="69"/>
        <v>1293.6351976334945</v>
      </c>
      <c r="DG25" s="240">
        <f t="shared" si="24"/>
        <v>905.54463834344608</v>
      </c>
      <c r="DH25" s="240">
        <f t="shared" si="70"/>
        <v>634.02778472956084</v>
      </c>
      <c r="DJ25" s="17">
        <f t="shared" si="25"/>
        <v>1293.6351976334945</v>
      </c>
      <c r="DK25" s="266">
        <f t="shared" si="55"/>
        <v>94.951745770667458</v>
      </c>
      <c r="DL25" s="135">
        <f t="shared" si="26"/>
        <v>1198.683451862827</v>
      </c>
      <c r="DM25" s="244">
        <f>'Mite Immigration'!C33</f>
        <v>0</v>
      </c>
      <c r="DN25" s="137">
        <f t="shared" si="56"/>
        <v>-3.319993456426585E-2</v>
      </c>
      <c r="DO25" s="98">
        <f t="shared" si="64"/>
        <v>-3.319993456426585E-2</v>
      </c>
      <c r="DP25" s="265">
        <f t="shared" si="27"/>
        <v>1198.6502519282628</v>
      </c>
      <c r="DQ25" s="393">
        <f>FF$32</f>
        <v>0</v>
      </c>
      <c r="DR25" s="135">
        <f t="shared" si="57"/>
        <v>0</v>
      </c>
      <c r="DS25" s="95">
        <f t="shared" si="28"/>
        <v>1198.6502519282628</v>
      </c>
      <c r="DT25" s="29">
        <f t="shared" si="29"/>
        <v>-5.0143630213130286E-3</v>
      </c>
      <c r="DU25" s="271">
        <f t="shared" si="30"/>
        <v>40862</v>
      </c>
      <c r="DV25" s="89">
        <f t="shared" si="31"/>
        <v>1293.6351976334945</v>
      </c>
      <c r="DW25" s="29">
        <f t="shared" si="32"/>
        <v>8.0852199852093409E-2</v>
      </c>
      <c r="DX25" s="145">
        <f t="shared" si="33"/>
        <v>25.468442953409426</v>
      </c>
      <c r="DY25">
        <f t="shared" si="65"/>
        <v>100</v>
      </c>
      <c r="DZ25">
        <f t="shared" si="66"/>
        <v>100</v>
      </c>
      <c r="EA25">
        <f>IF(DX$21&gt;60,100,0)</f>
        <v>0</v>
      </c>
      <c r="EB25">
        <f t="shared" si="68"/>
        <v>200</v>
      </c>
      <c r="EC25" s="17">
        <f t="shared" si="58"/>
        <v>0.68437499999999996</v>
      </c>
      <c r="ED25" s="18">
        <f t="shared" si="59"/>
        <v>0</v>
      </c>
      <c r="EE25" s="264">
        <f t="shared" si="60"/>
        <v>0.68437499999999996</v>
      </c>
      <c r="EF25" s="264">
        <f t="shared" si="67"/>
        <v>4.4999999999999998E-2</v>
      </c>
      <c r="EG25" s="104">
        <f t="shared" si="61"/>
        <v>0.6</v>
      </c>
      <c r="EH25" s="263">
        <f t="shared" si="62"/>
        <v>3.319993456426585E-2</v>
      </c>
      <c r="EJ25" s="17">
        <f t="shared" si="63"/>
        <v>0</v>
      </c>
      <c r="EK25" s="164">
        <f>FF$57</f>
        <v>1333.5303517737925</v>
      </c>
      <c r="EL25" s="37">
        <f>FE$59</f>
        <v>0.42445554813656389</v>
      </c>
      <c r="EP25" s="2">
        <v>40862</v>
      </c>
      <c r="EQ25" s="259">
        <v>43235</v>
      </c>
      <c r="ET25">
        <v>17.954999999999998</v>
      </c>
      <c r="EU25" s="18"/>
      <c r="EV25" s="18"/>
    </row>
    <row r="26" spans="1:164" ht="13" customHeight="1" x14ac:dyDescent="0.4">
      <c r="B26" s="407"/>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c r="AC26" s="407"/>
      <c r="AD26" s="481"/>
      <c r="AE26" s="486">
        <f t="shared" si="34"/>
        <v>40878</v>
      </c>
      <c r="AF26" s="418"/>
      <c r="AG26" s="6"/>
      <c r="AU26" s="458"/>
      <c r="BA26" s="406">
        <f t="shared" si="35"/>
        <v>40878</v>
      </c>
      <c r="BB26" s="59" t="str">
        <f t="shared" si="0"/>
        <v/>
      </c>
      <c r="BC26" s="301" t="str">
        <f t="shared" si="36"/>
        <v/>
      </c>
      <c r="BD26" s="233" t="str">
        <f t="shared" si="1"/>
        <v/>
      </c>
      <c r="BE26" s="123" t="str">
        <f t="shared" si="37"/>
        <v/>
      </c>
      <c r="BF26" s="4" t="str">
        <f t="shared" si="2"/>
        <v/>
      </c>
      <c r="BG26" s="3" t="str">
        <f t="shared" si="3"/>
        <v/>
      </c>
      <c r="BM26" s="37"/>
      <c r="BP26" s="271">
        <f t="shared" si="38"/>
        <v>40878</v>
      </c>
      <c r="BQ26" s="457">
        <f>IF($BA$31="d",'Colony Type'!H53,IF($BA$31="n",'Colony Type'!H81,IF($BA$31="p",'Colony Type'!H109,IF($BA$31="a",'Colony Type'!H137,IF($BA$31="b",'Colony Type'!H165,IF($BA$31="c",'Colony Type'!H193,IF($BA$31="r",'Colony Type'!H221,IF($BA$31="s",'Colony Type'!H249,IF($BA$31="f",'Colony Type'!H277,"error")))))))))</f>
        <v>8</v>
      </c>
      <c r="BR26">
        <f t="shared" si="4"/>
        <v>16000</v>
      </c>
      <c r="BS26" s="81">
        <f>IF($BA$31="d",'Colony Type'!F53,IF($BA$31="n",'Colony Type'!F81,IF($BA$31="p",'Colony Type'!F109,IF($BA$31="a",'Colony Type'!F137,IF($BA$31="b",'Colony Type'!F165,IF($BA$31="c",'Colony Type'!F193,IF($BA$31="r",'Colony Type'!F221,IF($BA$31="s",'Colony Type'!F249,IF($BA$31="f",'Colony Type'!F277,"error")))))))))</f>
        <v>0</v>
      </c>
      <c r="BT26" s="17">
        <f t="shared" si="5"/>
        <v>1</v>
      </c>
      <c r="BU26" s="21">
        <f t="shared" si="6"/>
        <v>6.2500000000000001E-5</v>
      </c>
      <c r="BV26">
        <f t="shared" si="39"/>
        <v>0.6</v>
      </c>
      <c r="BW26" s="18">
        <f t="shared" si="40"/>
        <v>0</v>
      </c>
      <c r="BX26" s="18">
        <f t="shared" si="7"/>
        <v>0.05</v>
      </c>
      <c r="BY26" s="141">
        <f t="shared" si="41"/>
        <v>53.401720006109592</v>
      </c>
      <c r="BZ26" s="27">
        <f t="shared" si="8"/>
        <v>65.401720006109599</v>
      </c>
      <c r="CA26" s="32">
        <f t="shared" si="9"/>
        <v>1</v>
      </c>
      <c r="CB26" s="130">
        <f t="shared" si="10"/>
        <v>0</v>
      </c>
      <c r="CC26" s="28">
        <f t="shared" si="11"/>
        <v>0</v>
      </c>
      <c r="CD26" s="255">
        <f t="shared" si="12"/>
        <v>0.6</v>
      </c>
      <c r="CE26" s="80">
        <f>IF($BA$31="d",'Colony Type'!J53,IF($BA$31="n",'Colony Type'!J81,IF($BA$31="p",'Colony Type'!J109,IF($BA$31="a",'Colony Type'!J137,IF($BA$31="b",'Colony Type'!J165,IF($BA$31="c",'Colony Type'!J193,IF($BA$31="r",'Colony Type'!J221,IF($BA$31="s",'Colony Type'!J221,IF($BA$31="f",'Colony Type'!J277,"error")))))))))</f>
        <v>0</v>
      </c>
      <c r="CF26" s="106">
        <f t="shared" si="42"/>
        <v>0</v>
      </c>
      <c r="CG26" s="75">
        <f t="shared" si="43"/>
        <v>0</v>
      </c>
      <c r="CH26" s="102">
        <f t="shared" si="44"/>
        <v>0</v>
      </c>
      <c r="CI26" s="72">
        <f t="shared" si="13"/>
        <v>0</v>
      </c>
      <c r="CJ26" s="73">
        <f t="shared" si="45"/>
        <v>0</v>
      </c>
      <c r="CK26" s="356">
        <f t="shared" si="46"/>
        <v>0</v>
      </c>
      <c r="CL26" s="357">
        <f t="shared" si="47"/>
        <v>0</v>
      </c>
      <c r="CM26" s="73">
        <f t="shared" si="14"/>
        <v>68.401720006109599</v>
      </c>
      <c r="CN26" s="355">
        <v>1</v>
      </c>
      <c r="CO26" s="84">
        <f t="shared" si="15"/>
        <v>4.2749999999999995</v>
      </c>
      <c r="CP26" s="78">
        <f t="shared" si="48"/>
        <v>9.8493837450082944E-2</v>
      </c>
      <c r="CQ26" s="103">
        <f t="shared" si="49"/>
        <v>0</v>
      </c>
      <c r="CR26" s="71">
        <f t="shared" si="50"/>
        <v>0.6</v>
      </c>
      <c r="CS26" s="71">
        <f t="shared" si="16"/>
        <v>0</v>
      </c>
      <c r="CT26" s="74">
        <f t="shared" si="17"/>
        <v>0</v>
      </c>
      <c r="CU26" s="353">
        <f t="shared" si="51"/>
        <v>0</v>
      </c>
      <c r="CV26" s="355">
        <f t="shared" si="52"/>
        <v>0</v>
      </c>
      <c r="CW26" s="76">
        <f t="shared" si="18"/>
        <v>1</v>
      </c>
      <c r="CX26" s="74">
        <f t="shared" si="19"/>
        <v>65.401720006109599</v>
      </c>
      <c r="CY26" s="354">
        <v>1</v>
      </c>
      <c r="CZ26" s="83">
        <f t="shared" si="53"/>
        <v>2.2586249999999999</v>
      </c>
      <c r="DA26" s="79">
        <f t="shared" si="20"/>
        <v>0</v>
      </c>
      <c r="DB26" s="112">
        <f t="shared" si="21"/>
        <v>0</v>
      </c>
      <c r="DC26" s="55">
        <f t="shared" si="22"/>
        <v>-5.0125418235442863E-3</v>
      </c>
      <c r="DD26" s="133">
        <f t="shared" si="23"/>
        <v>-5.0125418235442863E-3</v>
      </c>
      <c r="DE26" s="467">
        <f t="shared" si="54"/>
        <v>0</v>
      </c>
      <c r="DF26" s="378">
        <f t="shared" si="69"/>
        <v>1198.6502519282628</v>
      </c>
      <c r="DG26" s="240">
        <f t="shared" si="24"/>
        <v>839.05517634978389</v>
      </c>
      <c r="DH26" s="240">
        <f t="shared" si="70"/>
        <v>482.91355155541504</v>
      </c>
      <c r="DJ26" s="17">
        <f t="shared" si="25"/>
        <v>1198.6502519282628</v>
      </c>
      <c r="DK26" s="266">
        <f t="shared" si="55"/>
        <v>87.979929888459992</v>
      </c>
      <c r="DL26" s="135">
        <f t="shared" si="26"/>
        <v>1110.6703220398028</v>
      </c>
      <c r="DM26" s="244">
        <f>'Mite Immigration'!C34</f>
        <v>0</v>
      </c>
      <c r="DN26" s="137">
        <f t="shared" si="56"/>
        <v>-3.0762234981127682E-2</v>
      </c>
      <c r="DO26" s="98">
        <f t="shared" si="64"/>
        <v>-3.0762234981127682E-2</v>
      </c>
      <c r="DP26" s="265">
        <f t="shared" si="27"/>
        <v>1110.6395598048216</v>
      </c>
      <c r="DQ26" s="393">
        <f>FG$32</f>
        <v>0</v>
      </c>
      <c r="DR26" s="135">
        <f t="shared" si="57"/>
        <v>0</v>
      </c>
      <c r="DS26" s="95">
        <f t="shared" si="28"/>
        <v>1110.6395598048216</v>
      </c>
      <c r="DT26" s="29">
        <f t="shared" si="29"/>
        <v>-5.0143630213130364E-3</v>
      </c>
      <c r="DU26" s="271">
        <f t="shared" si="30"/>
        <v>40878</v>
      </c>
      <c r="DV26" s="89">
        <f t="shared" si="31"/>
        <v>1198.6502519282628</v>
      </c>
      <c r="DW26" s="29">
        <f t="shared" si="32"/>
        <v>7.4915640745516432E-2</v>
      </c>
      <c r="DX26" s="145">
        <f t="shared" si="33"/>
        <v>23.598426834837674</v>
      </c>
      <c r="DY26">
        <f t="shared" si="65"/>
        <v>100</v>
      </c>
      <c r="DZ26">
        <f t="shared" si="66"/>
        <v>100</v>
      </c>
      <c r="EA26">
        <f>IF(DX$21&gt;60,100,0)</f>
        <v>0</v>
      </c>
      <c r="EB26">
        <f t="shared" si="68"/>
        <v>200</v>
      </c>
      <c r="EC26" s="17">
        <f t="shared" si="58"/>
        <v>0.68437499999999996</v>
      </c>
      <c r="ED26" s="18">
        <f t="shared" si="59"/>
        <v>0</v>
      </c>
      <c r="EE26" s="264">
        <f t="shared" si="60"/>
        <v>0.68437499999999996</v>
      </c>
      <c r="EF26" s="264">
        <f t="shared" si="67"/>
        <v>4.4999999999999998E-2</v>
      </c>
      <c r="EG26" s="104">
        <f t="shared" si="61"/>
        <v>0.6</v>
      </c>
      <c r="EH26" s="263">
        <f t="shared" si="62"/>
        <v>3.0762234981127682E-2</v>
      </c>
      <c r="EJ26" s="17">
        <f t="shared" si="63"/>
        <v>0</v>
      </c>
      <c r="EK26" s="164">
        <f>FG$57</f>
        <v>1669.9417792054571</v>
      </c>
      <c r="EL26" s="37">
        <f>FF$59</f>
        <v>0.59412085120204838</v>
      </c>
      <c r="EP26" s="2">
        <v>40878</v>
      </c>
      <c r="EQ26" s="259">
        <v>43252</v>
      </c>
      <c r="EU26" s="18"/>
      <c r="EV26" s="18"/>
    </row>
    <row r="27" spans="1:164" ht="13" customHeight="1" x14ac:dyDescent="0.4">
      <c r="B27" s="407"/>
      <c r="C27" s="407"/>
      <c r="D27" s="407"/>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83"/>
      <c r="AE27" s="486">
        <f t="shared" si="34"/>
        <v>40892</v>
      </c>
      <c r="AF27" s="418"/>
      <c r="AX27" s="242"/>
      <c r="BA27" s="406">
        <f t="shared" si="35"/>
        <v>40892</v>
      </c>
      <c r="BB27" s="59" t="str">
        <f t="shared" si="0"/>
        <v/>
      </c>
      <c r="BC27" s="301" t="str">
        <f t="shared" si="36"/>
        <v/>
      </c>
      <c r="BD27" s="233" t="str">
        <f t="shared" si="1"/>
        <v/>
      </c>
      <c r="BE27" s="123" t="str">
        <f t="shared" si="37"/>
        <v/>
      </c>
      <c r="BF27" s="4" t="str">
        <f t="shared" si="2"/>
        <v/>
      </c>
      <c r="BG27" s="3" t="str">
        <f t="shared" si="3"/>
        <v/>
      </c>
      <c r="BM27" s="37"/>
      <c r="BP27" s="271">
        <f t="shared" si="38"/>
        <v>40892</v>
      </c>
      <c r="BQ27" s="457">
        <f>IF($BA$31="d",'Colony Type'!H54,IF($BA$31="n",'Colony Type'!H82,IF($BA$31="p",'Colony Type'!H110,IF($BA$31="a",'Colony Type'!H138,IF($BA$31="b",'Colony Type'!H166,IF($BA$31="c",'Colony Type'!H194,IF($BA$31="r",'Colony Type'!H222,IF($BA$31="s",'Colony Type'!H250,IF($BA$31="f",'Colony Type'!H278,"error")))))))))</f>
        <v>8</v>
      </c>
      <c r="BR27">
        <f t="shared" si="4"/>
        <v>16000</v>
      </c>
      <c r="BS27" s="81">
        <f>IF($BA$31="d",'Colony Type'!F54,IF($BA$31="n",'Colony Type'!F82,IF($BA$31="p",'Colony Type'!F110,IF($BA$31="a",'Colony Type'!F138,IF($BA$31="b",'Colony Type'!F166,IF($BA$31="c",'Colony Type'!F194,IF($BA$31="r",'Colony Type'!F222,IF($BA$31="s",'Colony Type'!F250,IF($BA$31="f",'Colony Type'!F278,"error")))))))))</f>
        <v>0</v>
      </c>
      <c r="BT27" s="17">
        <f t="shared" si="5"/>
        <v>1</v>
      </c>
      <c r="BU27" s="21">
        <f t="shared" si="6"/>
        <v>6.2500000000000001E-5</v>
      </c>
      <c r="BV27">
        <f t="shared" si="39"/>
        <v>0.6</v>
      </c>
      <c r="BW27" s="18">
        <f t="shared" si="40"/>
        <v>0</v>
      </c>
      <c r="BX27" s="18">
        <f t="shared" si="7"/>
        <v>0.05</v>
      </c>
      <c r="BY27" s="141">
        <f t="shared" si="41"/>
        <v>53.401720006109592</v>
      </c>
      <c r="BZ27" s="27">
        <f t="shared" si="8"/>
        <v>65.401720006109599</v>
      </c>
      <c r="CA27" s="32">
        <f t="shared" si="9"/>
        <v>1</v>
      </c>
      <c r="CB27" s="130">
        <f t="shared" si="10"/>
        <v>0</v>
      </c>
      <c r="CC27" s="28">
        <f t="shared" si="11"/>
        <v>0</v>
      </c>
      <c r="CD27" s="255">
        <f t="shared" si="12"/>
        <v>0.6</v>
      </c>
      <c r="CE27" s="80">
        <f>IF($BA$31="d",'Colony Type'!J54,IF($BA$31="n",'Colony Type'!J82,IF($BA$31="p",'Colony Type'!J110,IF($BA$31="a",'Colony Type'!J138,IF($BA$31="b",'Colony Type'!J166,IF($BA$31="c",'Colony Type'!J194,IF($BA$31="r",'Colony Type'!J222,IF($BA$31="s",'Colony Type'!J222,IF($BA$31="f",'Colony Type'!J278,"error")))))))))</f>
        <v>0</v>
      </c>
      <c r="CF27" s="106">
        <f t="shared" si="42"/>
        <v>0</v>
      </c>
      <c r="CG27" s="75">
        <f t="shared" si="43"/>
        <v>0</v>
      </c>
      <c r="CH27" s="102">
        <f t="shared" si="44"/>
        <v>0</v>
      </c>
      <c r="CI27" s="72">
        <f t="shared" si="13"/>
        <v>0</v>
      </c>
      <c r="CJ27" s="73">
        <f t="shared" si="45"/>
        <v>0</v>
      </c>
      <c r="CK27" s="356">
        <f t="shared" si="46"/>
        <v>0</v>
      </c>
      <c r="CL27" s="357">
        <f t="shared" si="47"/>
        <v>0</v>
      </c>
      <c r="CM27" s="73">
        <f t="shared" si="14"/>
        <v>68.401720006109599</v>
      </c>
      <c r="CN27" s="355">
        <v>1</v>
      </c>
      <c r="CO27" s="84">
        <f t="shared" si="15"/>
        <v>4.2749999999999995</v>
      </c>
      <c r="CP27" s="78">
        <f t="shared" si="48"/>
        <v>9.8493837450082944E-2</v>
      </c>
      <c r="CQ27" s="103">
        <f t="shared" si="49"/>
        <v>0</v>
      </c>
      <c r="CR27" s="71">
        <f t="shared" si="50"/>
        <v>0.6</v>
      </c>
      <c r="CS27" s="71">
        <f t="shared" si="16"/>
        <v>0</v>
      </c>
      <c r="CT27" s="74">
        <f t="shared" si="17"/>
        <v>0</v>
      </c>
      <c r="CU27" s="353">
        <f t="shared" si="51"/>
        <v>0</v>
      </c>
      <c r="CV27" s="355">
        <f t="shared" si="52"/>
        <v>0</v>
      </c>
      <c r="CW27" s="76">
        <f t="shared" si="18"/>
        <v>1</v>
      </c>
      <c r="CX27" s="74">
        <f t="shared" si="19"/>
        <v>65.401720006109599</v>
      </c>
      <c r="CY27" s="354">
        <v>1</v>
      </c>
      <c r="CZ27" s="83">
        <f t="shared" si="53"/>
        <v>2.2586249999999999</v>
      </c>
      <c r="DA27" s="79">
        <f t="shared" si="20"/>
        <v>0</v>
      </c>
      <c r="DB27" s="112">
        <f t="shared" si="21"/>
        <v>0</v>
      </c>
      <c r="DC27" s="55">
        <f t="shared" si="22"/>
        <v>-5.0125418235442863E-3</v>
      </c>
      <c r="DD27" s="133">
        <f t="shared" si="23"/>
        <v>-5.0125418235442863E-3</v>
      </c>
      <c r="DE27" s="467">
        <f t="shared" si="54"/>
        <v>0</v>
      </c>
      <c r="DF27" s="378">
        <f t="shared" si="69"/>
        <v>1110.6395598048216</v>
      </c>
      <c r="DG27" s="240">
        <f t="shared" si="24"/>
        <v>777.4476918633751</v>
      </c>
      <c r="DH27" s="240">
        <f t="shared" si="70"/>
        <v>315.54980740843888</v>
      </c>
      <c r="DJ27" s="17">
        <f t="shared" si="25"/>
        <v>1110.6395598048216</v>
      </c>
      <c r="DK27" s="266">
        <f t="shared" si="55"/>
        <v>81.520018408861461</v>
      </c>
      <c r="DL27" s="135">
        <f t="shared" si="26"/>
        <v>1029.1195413959601</v>
      </c>
      <c r="DM27" s="244">
        <f>'Mite Immigration'!C35</f>
        <v>0</v>
      </c>
      <c r="DN27" s="137">
        <f t="shared" si="56"/>
        <v>-2.8503523077803426E-2</v>
      </c>
      <c r="DO27" s="98">
        <f t="shared" si="64"/>
        <v>-2.8503523077803426E-2</v>
      </c>
      <c r="DP27" s="265">
        <f t="shared" si="27"/>
        <v>1029.0910378728822</v>
      </c>
      <c r="DQ27" s="393">
        <f>FH$32</f>
        <v>0</v>
      </c>
      <c r="DR27" s="135">
        <f t="shared" si="57"/>
        <v>0</v>
      </c>
      <c r="DS27" s="95">
        <f t="shared" si="28"/>
        <v>1029.0910378728822</v>
      </c>
      <c r="DT27" s="29">
        <f t="shared" si="29"/>
        <v>-5.0143630213130451E-3</v>
      </c>
      <c r="DU27" s="271">
        <f t="shared" si="30"/>
        <v>40892</v>
      </c>
      <c r="DV27" s="89">
        <f t="shared" si="31"/>
        <v>1110.6395598048216</v>
      </c>
      <c r="DW27" s="29">
        <f t="shared" si="32"/>
        <v>6.9414972487801346E-2</v>
      </c>
      <c r="DX27" s="145">
        <f t="shared" si="33"/>
        <v>21.865716333657424</v>
      </c>
      <c r="DY27">
        <f t="shared" si="65"/>
        <v>100</v>
      </c>
      <c r="DZ27">
        <f t="shared" si="66"/>
        <v>100</v>
      </c>
      <c r="EA27">
        <f>IF(DX$21&gt;60,100,0)</f>
        <v>0</v>
      </c>
      <c r="EB27">
        <f t="shared" si="68"/>
        <v>200</v>
      </c>
      <c r="EC27" s="17">
        <f t="shared" si="58"/>
        <v>0.68437499999999996</v>
      </c>
      <c r="ED27" s="18">
        <f t="shared" si="59"/>
        <v>0</v>
      </c>
      <c r="EE27" s="264">
        <f t="shared" si="60"/>
        <v>0.68437499999999996</v>
      </c>
      <c r="EF27" s="264">
        <f t="shared" si="67"/>
        <v>4.4999999999999998E-2</v>
      </c>
      <c r="EG27" s="104">
        <f t="shared" si="61"/>
        <v>0.6</v>
      </c>
      <c r="EH27" s="263">
        <f t="shared" si="62"/>
        <v>2.8503523077803426E-2</v>
      </c>
      <c r="EJ27" s="17">
        <f t="shared" si="63"/>
        <v>0</v>
      </c>
      <c r="EK27" s="164">
        <f>FH$57</f>
        <v>1873.7845003193027</v>
      </c>
      <c r="EL27" s="37">
        <f>FG$59</f>
        <v>0.81428691103470463</v>
      </c>
      <c r="EP27" s="2">
        <v>40892</v>
      </c>
      <c r="EQ27" s="259">
        <v>43266</v>
      </c>
      <c r="ET27">
        <v>11.025</v>
      </c>
      <c r="EU27" s="18"/>
      <c r="EV27" s="18"/>
    </row>
    <row r="28" spans="1:164" ht="12.75" customHeight="1" x14ac:dyDescent="0.4">
      <c r="B28" s="407"/>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84"/>
      <c r="AE28" s="486">
        <f t="shared" si="34"/>
        <v>40908</v>
      </c>
      <c r="AF28" s="418"/>
      <c r="AG28" s="243"/>
      <c r="AI28" s="159"/>
      <c r="AJ28" s="159"/>
      <c r="AK28" s="159"/>
      <c r="AL28" s="159"/>
      <c r="AM28" s="159"/>
      <c r="AN28" s="159"/>
      <c r="AO28" s="159"/>
      <c r="AP28" s="159"/>
      <c r="AQ28" s="159"/>
      <c r="AR28" s="159"/>
      <c r="AS28" s="159"/>
      <c r="AT28" s="159"/>
      <c r="AU28" s="159"/>
      <c r="AV28" s="159"/>
      <c r="AW28" s="159"/>
      <c r="AX28" s="159"/>
      <c r="BA28" s="406">
        <f t="shared" si="35"/>
        <v>40908</v>
      </c>
      <c r="BB28" s="59" t="str">
        <f>IF(EB27&gt;0,"",DF28)</f>
        <v/>
      </c>
      <c r="BC28" s="301" t="str">
        <f>IF(EB28&gt;0,"",DT28)</f>
        <v/>
      </c>
      <c r="BD28" s="233" t="str">
        <f t="shared" si="1"/>
        <v/>
      </c>
      <c r="BE28" s="123" t="str">
        <f>IF(EB28&gt;0,"",DX28)</f>
        <v/>
      </c>
      <c r="BF28" s="4" t="str">
        <f t="shared" si="2"/>
        <v/>
      </c>
      <c r="BG28" s="3" t="str">
        <f t="shared" si="3"/>
        <v/>
      </c>
      <c r="BJ28" s="64"/>
      <c r="BK28" s="64"/>
      <c r="BL28" s="91"/>
      <c r="BM28" s="91"/>
      <c r="BP28" s="271">
        <f t="shared" si="38"/>
        <v>40908</v>
      </c>
      <c r="BQ28" s="457">
        <f>IF($BA$31="d",'Colony Type'!H55,IF($BA$31="n",'Colony Type'!H83,IF($BA$31="p",'Colony Type'!H111,IF($BA$31="a",'Colony Type'!H139,IF($BA$31="b",'Colony Type'!H167,IF($BA$31="c",'Colony Type'!H195,IF($BA$31="r",'Colony Type'!H223,IF($BA$31="s",'Colony Type'!H251,IF($BA$31="f",'Colony Type'!H279,"error")))))))))</f>
        <v>8</v>
      </c>
      <c r="BR28">
        <f>BQ28*$BQ$44</f>
        <v>16000</v>
      </c>
      <c r="BS28" s="81">
        <f>IF($BA$31="d",'Colony Type'!F55,IF($BA$31="n",'Colony Type'!F83,IF($BA$31="p",'Colony Type'!F111,IF($BA$31="a",'Colony Type'!F139,IF($BA$31="b",'Colony Type'!F167,IF($BA$31="c",'Colony Type'!F195,IF($BA$31="r",'Colony Type'!F223,IF($BA$31="s",'Colony Type'!F251,IF($BA$31="f",'Colony Type'!F279,"error")))))))))</f>
        <v>0</v>
      </c>
      <c r="BT28" s="17">
        <f>IF(BS28=0,1,$BQ$43*BS28)</f>
        <v>1</v>
      </c>
      <c r="BU28" s="21">
        <f>IF(BR28=0,0,BT28/BR28)</f>
        <v>6.2500000000000001E-5</v>
      </c>
      <c r="BV28">
        <f>BT28*12/20</f>
        <v>0.6</v>
      </c>
      <c r="BW28" s="18">
        <f>CU28*BV28</f>
        <v>0</v>
      </c>
      <c r="BX28" s="18">
        <f>BT28/20</f>
        <v>0.05</v>
      </c>
      <c r="BY28" s="141">
        <f>IF(BU28=0,0.001,(-$BQ$42*LN(BU28))+$BQ$41)</f>
        <v>53.401720006109592</v>
      </c>
      <c r="BZ28" s="27">
        <f>BY28+12</f>
        <v>65.401720006109599</v>
      </c>
      <c r="CA28" s="32">
        <f>IF(BS28=0,1,BY28/BZ28)</f>
        <v>1</v>
      </c>
      <c r="CB28" s="130">
        <f>1-CA28</f>
        <v>0</v>
      </c>
      <c r="CC28" s="28">
        <f t="shared" si="11"/>
        <v>0</v>
      </c>
      <c r="CD28" s="255">
        <f>0.6*BT28</f>
        <v>0.6</v>
      </c>
      <c r="CE28" s="80">
        <f>IF($BA$31="d",'Colony Type'!J55,IF($BA$31="n",'Colony Type'!J83,IF($BA$31="p",'Colony Type'!J111,IF($BA$31="a",'Colony Type'!I139,IF($BA$31="b",'Colony Type'!J167,IF($BA$31="c",'Colony Type'!J195,IF($BA$31="r",'Colony Type'!J223,IF($BA$31="s",'Colony Type'!J223,IF($BA$31="f",'Colony Type'!J279,"error")))))))))</f>
        <v>0</v>
      </c>
      <c r="CF28" s="106">
        <f t="shared" si="42"/>
        <v>0</v>
      </c>
      <c r="CG28" s="75">
        <f t="shared" si="43"/>
        <v>0</v>
      </c>
      <c r="CH28" s="102">
        <f>CG28*CB28</f>
        <v>0</v>
      </c>
      <c r="CI28" s="72">
        <f>CG28*CC28</f>
        <v>0</v>
      </c>
      <c r="CJ28" s="73">
        <f>IF(CF28=0,0,CI28/(CD28*CF28))</f>
        <v>0</v>
      </c>
      <c r="CK28" s="356">
        <f t="shared" si="46"/>
        <v>0</v>
      </c>
      <c r="CL28" s="357">
        <f>IF(CK28=0,0,CJ28/CK28)</f>
        <v>0</v>
      </c>
      <c r="CM28" s="73">
        <f>BY28+15</f>
        <v>68.401720006109599</v>
      </c>
      <c r="CN28" s="355">
        <v>1</v>
      </c>
      <c r="CO28" s="84">
        <f>(1+($BQ$31*CN28))*$BQ$46</f>
        <v>4.2749999999999995</v>
      </c>
      <c r="CP28" s="78">
        <f>LN(CO28)/14.75</f>
        <v>9.8493837450082944E-2</v>
      </c>
      <c r="CQ28" s="103">
        <f>1-CA28-CH28</f>
        <v>0</v>
      </c>
      <c r="CR28" s="71">
        <f>(1-CF28)*CD28</f>
        <v>0.6</v>
      </c>
      <c r="CS28" s="71">
        <f>CC28-CI28</f>
        <v>0</v>
      </c>
      <c r="CT28" s="74">
        <f>CS28/CR28</f>
        <v>0</v>
      </c>
      <c r="CU28" s="353">
        <f t="shared" si="51"/>
        <v>0</v>
      </c>
      <c r="CV28" s="355">
        <f t="shared" si="52"/>
        <v>0</v>
      </c>
      <c r="CW28" s="76">
        <f t="shared" si="18"/>
        <v>1</v>
      </c>
      <c r="CX28" s="74">
        <f t="shared" si="19"/>
        <v>65.401720006109599</v>
      </c>
      <c r="CY28" s="354">
        <v>1</v>
      </c>
      <c r="CZ28" s="83">
        <f t="shared" si="53"/>
        <v>2.2586249999999999</v>
      </c>
      <c r="DA28" s="79">
        <f t="shared" si="20"/>
        <v>0</v>
      </c>
      <c r="DB28" s="112">
        <f t="shared" si="21"/>
        <v>0</v>
      </c>
      <c r="DC28" s="55">
        <f t="shared" si="22"/>
        <v>-5.0125418235442863E-3</v>
      </c>
      <c r="DD28" s="133">
        <f>DB28+DC28</f>
        <v>-5.0125418235442863E-3</v>
      </c>
      <c r="DE28" s="467">
        <f t="shared" si="54"/>
        <v>0</v>
      </c>
      <c r="DF28" s="378">
        <f t="shared" si="69"/>
        <v>1029.0910378728822</v>
      </c>
      <c r="DG28" s="240">
        <f>DF28*$BQ$30</f>
        <v>720.36372651101749</v>
      </c>
      <c r="DH28" s="240">
        <f t="shared" si="70"/>
        <v>133.7809728289123</v>
      </c>
      <c r="DJ28" s="17">
        <f t="shared" si="25"/>
        <v>1029.0910378728822</v>
      </c>
      <c r="DK28" s="266">
        <f>DJ28-DL28</f>
        <v>75.534424837644337</v>
      </c>
      <c r="DL28" s="135">
        <f t="shared" si="26"/>
        <v>953.55661303523789</v>
      </c>
      <c r="DM28" s="244" t="e">
        <f>'Mite Immigration'!#REF!</f>
        <v>#REF!</v>
      </c>
      <c r="DN28" s="137">
        <f>IF(EH28&gt;DV28*EG28,-DV28*EG28,-EH28)</f>
        <v>-2.641065671415951E-2</v>
      </c>
      <c r="DO28" s="98" t="e">
        <f>DM28+DN28</f>
        <v>#REF!</v>
      </c>
      <c r="DP28" s="265" t="e">
        <f t="shared" si="27"/>
        <v>#REF!</v>
      </c>
      <c r="DQ28" s="393"/>
      <c r="DR28" s="135"/>
      <c r="DS28" s="95" t="e">
        <f>DP28-DR28</f>
        <v>#REF!</v>
      </c>
      <c r="DT28" s="29" t="e">
        <f t="shared" si="29"/>
        <v>#REF!</v>
      </c>
      <c r="DU28" s="271">
        <f t="shared" si="30"/>
        <v>40908</v>
      </c>
      <c r="DV28" s="89">
        <f t="shared" si="31"/>
        <v>1029.0910378728822</v>
      </c>
      <c r="DW28" s="29">
        <f t="shared" si="32"/>
        <v>6.4318189867055134E-2</v>
      </c>
      <c r="DX28" s="145">
        <f>DW28*315</f>
        <v>20.260229808122368</v>
      </c>
      <c r="DY28">
        <f t="shared" si="65"/>
        <v>100</v>
      </c>
      <c r="DZ28">
        <f t="shared" si="66"/>
        <v>100</v>
      </c>
      <c r="EA28">
        <f>IF(DX$21&gt;60,100,0)</f>
        <v>0</v>
      </c>
      <c r="EB28">
        <f t="shared" si="68"/>
        <v>200</v>
      </c>
      <c r="EC28" s="17">
        <f t="shared" si="58"/>
        <v>0.68437499999999996</v>
      </c>
      <c r="ED28" s="18">
        <f t="shared" si="59"/>
        <v>0</v>
      </c>
      <c r="EE28" s="264">
        <f>EC28-ED28</f>
        <v>0.68437499999999996</v>
      </c>
      <c r="EF28" s="264">
        <f t="shared" si="67"/>
        <v>4.4999999999999998E-2</v>
      </c>
      <c r="EG28" s="104">
        <f>IF(DW28&gt;0.15,1,$BQ$35)</f>
        <v>0.6</v>
      </c>
      <c r="EH28" s="263">
        <f>EE28*EG28*DW28</f>
        <v>2.641065671415951E-2</v>
      </c>
      <c r="EJ28" s="17">
        <f t="shared" si="63"/>
        <v>0</v>
      </c>
      <c r="EK28" s="164">
        <f>FH$57</f>
        <v>1873.7845003193027</v>
      </c>
      <c r="EL28" s="37">
        <f>FG$59</f>
        <v>0.81428691103470463</v>
      </c>
      <c r="EN28" s="18"/>
      <c r="EO28" s="18"/>
      <c r="EP28" s="2">
        <v>40908</v>
      </c>
      <c r="EQ28" s="259">
        <v>43281</v>
      </c>
      <c r="EU28" s="18"/>
      <c r="EV28" s="18"/>
    </row>
    <row r="29" spans="1:164" ht="13" customHeight="1" x14ac:dyDescent="0.3">
      <c r="AF29" s="419"/>
      <c r="AI29" s="314"/>
      <c r="AJ29" s="314"/>
      <c r="AK29" s="314"/>
      <c r="AL29" s="314"/>
      <c r="AM29" s="314"/>
      <c r="AN29" s="314"/>
      <c r="AO29" s="314"/>
      <c r="AP29" s="314"/>
      <c r="AQ29" s="314"/>
      <c r="AR29" s="314"/>
      <c r="AS29" s="314"/>
      <c r="AT29" s="314"/>
      <c r="AU29" s="314"/>
      <c r="AV29" s="314"/>
      <c r="AW29" s="314"/>
      <c r="AX29" s="314"/>
      <c r="AY29" s="473"/>
      <c r="AZ29" s="468"/>
      <c r="BA29" s="315" t="s">
        <v>306</v>
      </c>
      <c r="BB29" s="317">
        <f>MAX(BB4:BB28)</f>
        <v>1799.1639523273093</v>
      </c>
      <c r="BC29" s="316" t="s">
        <v>304</v>
      </c>
      <c r="BD29" s="313">
        <f>SUM(BD4:BD28)</f>
        <v>195</v>
      </c>
      <c r="BE29" s="304"/>
      <c r="BF29" s="304"/>
      <c r="BG29" s="304"/>
      <c r="BH29" s="304"/>
      <c r="BI29" s="304"/>
      <c r="BJ29" s="304"/>
      <c r="BK29" s="241"/>
      <c r="BL29" s="241"/>
      <c r="BM29" s="241"/>
      <c r="BN29" s="241"/>
      <c r="BO29" s="523" t="s">
        <v>18</v>
      </c>
      <c r="BP29" s="320">
        <f>AG40</f>
        <v>1.45</v>
      </c>
      <c r="BQ29" s="170">
        <f>IF($AG$38="custom",AH40*(1-$BQ$39),IF($AG$38="",BP29*(1-AG49),"error"))</f>
        <v>1.3774999999999999</v>
      </c>
      <c r="BR29" s="381" t="s">
        <v>130</v>
      </c>
      <c r="BX29" s="5"/>
      <c r="BY29" s="27"/>
      <c r="BZ29" s="255">
        <f>BY29+12</f>
        <v>12</v>
      </c>
      <c r="CG29"/>
      <c r="CM29" s="73">
        <f>BY29+15</f>
        <v>15</v>
      </c>
      <c r="CT29" s="255" t="s">
        <v>141</v>
      </c>
      <c r="CU29" s="37">
        <f>MAX(CU4:CU28)</f>
        <v>0.89481427576344097</v>
      </c>
      <c r="CV29" s="104"/>
      <c r="CZ29" s="255"/>
      <c r="DM29" s="245">
        <f>SUM(DM4:DM27)</f>
        <v>200</v>
      </c>
      <c r="DN29" s="35">
        <f>SUM(DN5:DN28)</f>
        <v>-1550.6003872185181</v>
      </c>
      <c r="DO29" s="98">
        <f>DM29+DN29</f>
        <v>-1350.6003872185181</v>
      </c>
      <c r="EL29">
        <v>4</v>
      </c>
      <c r="EM29">
        <v>5</v>
      </c>
      <c r="EN29">
        <v>6</v>
      </c>
      <c r="EO29">
        <v>7</v>
      </c>
      <c r="EP29">
        <v>8</v>
      </c>
      <c r="EQ29">
        <v>9</v>
      </c>
      <c r="ER29">
        <v>10</v>
      </c>
      <c r="ES29">
        <v>11</v>
      </c>
      <c r="ET29">
        <v>12</v>
      </c>
      <c r="EU29">
        <v>13</v>
      </c>
      <c r="EV29">
        <v>14</v>
      </c>
      <c r="EW29">
        <v>15</v>
      </c>
      <c r="EX29">
        <v>16</v>
      </c>
      <c r="EY29">
        <v>17</v>
      </c>
      <c r="EZ29">
        <v>18</v>
      </c>
      <c r="FA29">
        <v>19</v>
      </c>
      <c r="FB29">
        <v>20</v>
      </c>
      <c r="FC29">
        <v>21</v>
      </c>
      <c r="FD29">
        <v>22</v>
      </c>
      <c r="FE29">
        <v>23</v>
      </c>
      <c r="FF29">
        <v>24</v>
      </c>
      <c r="FG29">
        <v>25</v>
      </c>
      <c r="FH29">
        <v>26</v>
      </c>
    </row>
    <row r="30" spans="1:164" ht="13" customHeight="1" x14ac:dyDescent="0.3">
      <c r="B30" s="491" t="s">
        <v>348</v>
      </c>
      <c r="C30" s="491"/>
      <c r="D30" s="491"/>
      <c r="E30" s="491"/>
      <c r="F30" s="491"/>
      <c r="G30" s="491"/>
      <c r="H30" s="491"/>
      <c r="I30" s="491"/>
      <c r="J30" s="491"/>
      <c r="K30" s="491"/>
      <c r="L30" s="491"/>
      <c r="M30" s="491"/>
      <c r="AF30" s="419"/>
      <c r="AG30" s="12"/>
      <c r="AH30" s="314"/>
      <c r="AI30" s="314"/>
      <c r="AJ30" s="314"/>
      <c r="AK30" s="314"/>
      <c r="AL30" s="314"/>
      <c r="AM30" s="314"/>
      <c r="AN30" s="314"/>
      <c r="AO30" s="314"/>
      <c r="AP30" s="314"/>
      <c r="AQ30" s="314"/>
      <c r="AR30" s="314"/>
      <c r="AS30" s="314"/>
      <c r="AT30" s="314"/>
      <c r="AU30" s="314"/>
      <c r="AV30" s="314"/>
      <c r="AW30" s="314"/>
      <c r="AX30" s="314"/>
      <c r="AY30" s="473"/>
      <c r="AZ30" s="469"/>
      <c r="BA30" s="314"/>
      <c r="BB30" s="64"/>
      <c r="BC30" s="298"/>
      <c r="BD30" s="64"/>
      <c r="BE30" s="64"/>
      <c r="BF30" s="64"/>
      <c r="BG30" s="64"/>
      <c r="BH30" s="64"/>
      <c r="BI30" s="64"/>
      <c r="BJ30" s="64"/>
      <c r="BM30" s="11"/>
      <c r="BO30" s="523"/>
      <c r="BP30" s="320">
        <f t="shared" ref="BP30:BP35" si="71">AG41</f>
        <v>0.7</v>
      </c>
      <c r="BQ30" s="61">
        <f t="shared" ref="BQ30:BQ35" si="72">IF($AG$38="custom",AH41,IF($AG$38="",BP30,"error"))</f>
        <v>0.7</v>
      </c>
      <c r="BR30" s="381" t="s">
        <v>229</v>
      </c>
      <c r="BY30" s="5"/>
      <c r="BZ30" s="92">
        <f>(1+(BQ29*BQ30))</f>
        <v>1.9642499999999998</v>
      </c>
      <c r="CA30" s="443" t="s">
        <v>129</v>
      </c>
      <c r="CB30"/>
      <c r="CC30"/>
      <c r="CZ30" s="443"/>
      <c r="EJ30" t="s">
        <v>186</v>
      </c>
      <c r="EK30" s="17">
        <f>BT4</f>
        <v>193.49999999999997</v>
      </c>
      <c r="EL30" s="17">
        <f>BT5</f>
        <v>193.49999999999997</v>
      </c>
      <c r="EM30" s="17">
        <f>BT6</f>
        <v>193.49999999999997</v>
      </c>
      <c r="EN30" s="17">
        <f>BT7</f>
        <v>193.49999999999997</v>
      </c>
      <c r="EO30" s="17">
        <f>BT8</f>
        <v>193.49999999999997</v>
      </c>
      <c r="EP30" s="17">
        <f>BT9</f>
        <v>2250</v>
      </c>
      <c r="EQ30" s="17">
        <f>BT10</f>
        <v>4500</v>
      </c>
      <c r="ER30" s="17">
        <f>BT11</f>
        <v>22500</v>
      </c>
      <c r="ES30" s="17">
        <f>BT12</f>
        <v>31500</v>
      </c>
      <c r="ET30" s="17">
        <f>BT13</f>
        <v>31500</v>
      </c>
      <c r="EU30" s="17">
        <f>BT14</f>
        <v>36000</v>
      </c>
      <c r="EV30" s="17">
        <f>BT15</f>
        <v>36000</v>
      </c>
      <c r="EW30" s="17">
        <f>BT16</f>
        <v>27000</v>
      </c>
      <c r="EX30" s="17">
        <f>BT17</f>
        <v>22500</v>
      </c>
      <c r="EY30" s="17">
        <f>BT18</f>
        <v>20250</v>
      </c>
      <c r="EZ30" s="17">
        <f>BT19</f>
        <v>18000</v>
      </c>
      <c r="FA30" s="17">
        <f>BT20</f>
        <v>15750</v>
      </c>
      <c r="FB30" s="17">
        <f>BT21</f>
        <v>13500</v>
      </c>
      <c r="FC30" s="17">
        <f>BT22</f>
        <v>2250</v>
      </c>
      <c r="FD30" s="17">
        <f>BT23</f>
        <v>450</v>
      </c>
      <c r="FE30" s="17">
        <f>BT24</f>
        <v>1</v>
      </c>
      <c r="FF30" s="17">
        <f>BT25</f>
        <v>1</v>
      </c>
      <c r="FG30" s="17">
        <f>BT26</f>
        <v>1</v>
      </c>
      <c r="FH30" s="17">
        <f>BT27</f>
        <v>1</v>
      </c>
    </row>
    <row r="31" spans="1:164" x14ac:dyDescent="0.4">
      <c r="B31" s="493" t="str">
        <f>'Colony Type'!B30</f>
        <v>D: Default colony in temperate climate, managed to prevent swarming (slight fall brood buildup)</v>
      </c>
      <c r="C31" s="493"/>
      <c r="D31" s="493"/>
      <c r="E31" s="493"/>
      <c r="F31" s="493"/>
      <c r="G31" s="493"/>
      <c r="H31" s="493"/>
      <c r="I31" s="493"/>
      <c r="J31" s="493"/>
      <c r="K31" s="493"/>
      <c r="L31" s="493"/>
      <c r="M31" s="493"/>
      <c r="AF31" s="419"/>
      <c r="AM31" s="443"/>
      <c r="AN31" s="443"/>
      <c r="AO31" s="443"/>
      <c r="AP31" s="443"/>
      <c r="AQ31" s="443"/>
      <c r="AR31" s="443"/>
      <c r="AS31" s="443"/>
      <c r="AT31" s="443"/>
      <c r="AU31" s="443"/>
      <c r="AV31" s="443"/>
      <c r="AW31" s="443"/>
      <c r="AX31" s="443"/>
      <c r="BA31" s="421" t="str">
        <f>C21</f>
        <v>b</v>
      </c>
      <c r="BB31" s="394" t="s">
        <v>355</v>
      </c>
      <c r="BC31" s="443"/>
      <c r="BD31" s="443"/>
      <c r="BE31" s="443"/>
      <c r="BH31" s="524"/>
      <c r="BI31" s="524"/>
      <c r="BJ31" s="524"/>
      <c r="BK31" s="524"/>
      <c r="BL31" s="524"/>
      <c r="BM31" s="524"/>
      <c r="BN31" s="524"/>
      <c r="BO31" s="523" t="s">
        <v>19</v>
      </c>
      <c r="BP31" s="320">
        <f t="shared" si="71"/>
        <v>3.5</v>
      </c>
      <c r="BQ31" s="170">
        <f t="shared" si="72"/>
        <v>3.5</v>
      </c>
      <c r="BR31" s="381" t="s">
        <v>118</v>
      </c>
      <c r="BZ31">
        <f>LN(BZ30)</f>
        <v>0.67511049307379378</v>
      </c>
      <c r="CA31" s="443" t="s">
        <v>128</v>
      </c>
      <c r="CB31"/>
      <c r="CC31"/>
      <c r="CD31"/>
      <c r="CE31" s="37"/>
      <c r="CF31" s="37"/>
      <c r="CI31" s="443"/>
      <c r="CO31" s="37"/>
      <c r="CY31" s="10"/>
      <c r="CZ31" s="13"/>
      <c r="DI31" s="17"/>
      <c r="DW31" s="68"/>
      <c r="EJ31" s="168" t="s">
        <v>184</v>
      </c>
      <c r="EK31" s="2">
        <v>40544</v>
      </c>
      <c r="EL31" s="2">
        <v>40558</v>
      </c>
      <c r="EM31" s="2">
        <v>40575</v>
      </c>
      <c r="EN31" s="2">
        <v>40589</v>
      </c>
      <c r="EO31" s="2">
        <v>40603</v>
      </c>
      <c r="EP31" s="2">
        <v>40617</v>
      </c>
      <c r="EQ31" s="2">
        <v>40634</v>
      </c>
      <c r="ER31" s="2">
        <v>40648</v>
      </c>
      <c r="ES31" s="2">
        <v>40664</v>
      </c>
      <c r="ET31" s="2">
        <v>40678</v>
      </c>
      <c r="EU31" s="2">
        <v>40695</v>
      </c>
      <c r="EV31" s="2">
        <v>40709</v>
      </c>
      <c r="EW31" s="2">
        <v>40725</v>
      </c>
      <c r="EX31" s="2">
        <v>40739</v>
      </c>
      <c r="EY31" s="2">
        <v>40756</v>
      </c>
      <c r="EZ31" s="2">
        <v>40770</v>
      </c>
      <c r="FA31" s="2">
        <v>40787</v>
      </c>
      <c r="FB31" s="2">
        <v>40801</v>
      </c>
      <c r="FC31" s="2">
        <v>40817</v>
      </c>
      <c r="FD31" s="2">
        <v>40831</v>
      </c>
      <c r="FE31" s="2">
        <v>40848</v>
      </c>
      <c r="FF31" s="2">
        <v>40862</v>
      </c>
      <c r="FG31" s="2">
        <v>40878</v>
      </c>
      <c r="FH31" s="2">
        <v>40892</v>
      </c>
    </row>
    <row r="32" spans="1:164" x14ac:dyDescent="0.4">
      <c r="B32" s="493"/>
      <c r="C32" s="493"/>
      <c r="D32" s="493"/>
      <c r="E32" s="493"/>
      <c r="F32" s="493"/>
      <c r="G32" s="493"/>
      <c r="H32" s="493"/>
      <c r="I32" s="493"/>
      <c r="J32" s="493"/>
      <c r="K32" s="493"/>
      <c r="L32" s="493"/>
      <c r="M32" s="493"/>
      <c r="AF32" s="419"/>
      <c r="AG32" s="12"/>
      <c r="BA32" s="423">
        <f>C22</f>
        <v>100</v>
      </c>
      <c r="BB32" s="422" t="s">
        <v>357</v>
      </c>
      <c r="BC32" s="126"/>
      <c r="BD32" s="126"/>
      <c r="BE32" s="126"/>
      <c r="BG32" s="161"/>
      <c r="BO32" s="523"/>
      <c r="BP32" s="320">
        <f t="shared" si="71"/>
        <v>0.7</v>
      </c>
      <c r="BQ32" s="61">
        <f t="shared" si="72"/>
        <v>0.7</v>
      </c>
      <c r="BR32" s="381" t="s">
        <v>230</v>
      </c>
      <c r="BW32">
        <f>LN(1885/1160)/23</f>
        <v>2.1109035468769601E-2</v>
      </c>
      <c r="BZ32" s="92">
        <f>(LN(1+(BQ29*BQ30)))/12</f>
        <v>5.6259207756149482E-2</v>
      </c>
      <c r="CA32" t="s">
        <v>124</v>
      </c>
      <c r="CB32"/>
      <c r="CC32"/>
      <c r="CD32"/>
      <c r="CE32" s="37"/>
      <c r="CF32" s="37"/>
      <c r="CG32"/>
      <c r="CK32" s="10"/>
      <c r="CY32" s="255"/>
      <c r="CZ32" s="443"/>
      <c r="DW32" s="68"/>
      <c r="EJ32" s="255" t="s">
        <v>180</v>
      </c>
      <c r="EK32" s="204">
        <f>'Brood break'!C20</f>
        <v>0</v>
      </c>
      <c r="EL32" s="204">
        <f>'Brood break'!D20</f>
        <v>0</v>
      </c>
      <c r="EM32" s="204">
        <f>'Brood break'!E20</f>
        <v>0</v>
      </c>
      <c r="EN32" s="204">
        <f>'Brood break'!F20</f>
        <v>0</v>
      </c>
      <c r="EO32" s="204">
        <f>'Brood break'!G20</f>
        <v>0</v>
      </c>
      <c r="EP32" s="204">
        <f>'Brood break'!H20</f>
        <v>0</v>
      </c>
      <c r="EQ32" s="204">
        <f>'Brood break'!I20</f>
        <v>0</v>
      </c>
      <c r="ER32" s="204">
        <f>'Brood break'!J20</f>
        <v>0</v>
      </c>
      <c r="ES32" s="204">
        <f>'Brood break'!K20</f>
        <v>0</v>
      </c>
      <c r="ET32" s="204">
        <f>'Brood break'!L20</f>
        <v>0</v>
      </c>
      <c r="EU32" s="204">
        <f>'Brood break'!M20</f>
        <v>0</v>
      </c>
      <c r="EV32" s="204">
        <f>'Brood break'!N20</f>
        <v>0</v>
      </c>
      <c r="EW32" s="204">
        <f>'Brood break'!O20</f>
        <v>0</v>
      </c>
      <c r="EX32" s="204">
        <f>'Brood break'!P20</f>
        <v>0</v>
      </c>
      <c r="EY32" s="204">
        <f>'Brood break'!Q20</f>
        <v>0</v>
      </c>
      <c r="EZ32" s="204">
        <f>'Brood break'!R20</f>
        <v>0</v>
      </c>
      <c r="FA32" s="204">
        <f>'Brood break'!S20</f>
        <v>0</v>
      </c>
      <c r="FB32" s="204">
        <f>'Brood break'!T20</f>
        <v>0</v>
      </c>
      <c r="FC32" s="204">
        <f>'Brood break'!U20</f>
        <v>0</v>
      </c>
      <c r="FD32" s="204">
        <f>'Brood break'!V20</f>
        <v>0</v>
      </c>
      <c r="FE32" s="204">
        <f>'Brood break'!W20</f>
        <v>0</v>
      </c>
      <c r="FF32" s="204">
        <f>'Brood break'!X20</f>
        <v>0</v>
      </c>
      <c r="FG32" s="204">
        <f>'Brood break'!Y20</f>
        <v>0</v>
      </c>
      <c r="FH32" s="204">
        <f>'Brood break'!Z20</f>
        <v>0</v>
      </c>
    </row>
    <row r="33" spans="2:164" x14ac:dyDescent="0.4">
      <c r="B33" s="493" t="str">
        <f>'Colony Type'!B58</f>
        <v>N: Nucleus colony, 5 frames of bees, 3 frames of brood, started 1 April</v>
      </c>
      <c r="C33" s="493"/>
      <c r="D33" s="493"/>
      <c r="E33" s="493"/>
      <c r="F33" s="493"/>
      <c r="G33" s="493"/>
      <c r="H33" s="493"/>
      <c r="I33" s="493"/>
      <c r="J33" s="493"/>
      <c r="K33" s="493"/>
      <c r="L33" s="493"/>
      <c r="M33" s="493"/>
      <c r="AF33" s="395"/>
      <c r="BA33" s="423">
        <f>C23</f>
        <v>0</v>
      </c>
      <c r="BB33" s="6" t="s">
        <v>356</v>
      </c>
      <c r="BC33"/>
      <c r="BP33" s="359">
        <f t="shared" si="71"/>
        <v>5.0000000000000001E-3</v>
      </c>
      <c r="BQ33" s="61">
        <f t="shared" si="72"/>
        <v>5.0000000000000001E-3</v>
      </c>
      <c r="BR33" s="381" t="s">
        <v>330</v>
      </c>
      <c r="BW33">
        <f>1160*EXP(BW32*45)</f>
        <v>2999.1430600487124</v>
      </c>
      <c r="BZ33" s="92">
        <f>12/17*BZ32+5/17*BW37</f>
        <v>3.823810493859249E-2</v>
      </c>
      <c r="CA33" s="255" t="s">
        <v>123</v>
      </c>
      <c r="CB33"/>
      <c r="CC33"/>
      <c r="CD33"/>
      <c r="CE33" s="37"/>
      <c r="CF33" s="37"/>
      <c r="CI33" s="54"/>
      <c r="CJ33" s="54"/>
      <c r="CK33" s="55"/>
      <c r="CS33" s="14"/>
      <c r="CT33" s="451"/>
      <c r="CU33" s="451"/>
      <c r="CV33" s="451"/>
      <c r="CW33" s="451"/>
      <c r="CX33" s="381"/>
      <c r="CY33" s="255"/>
      <c r="CZ33" s="443"/>
      <c r="DF33" s="17"/>
      <c r="DG33" s="17"/>
      <c r="DH33" s="17"/>
      <c r="DI33" s="17"/>
      <c r="DJ33" s="17"/>
      <c r="DK33" s="17"/>
      <c r="DL33" s="17"/>
      <c r="DM33" s="31"/>
      <c r="EJ33" s="272">
        <f t="shared" ref="EJ33:EJ56" si="73">BA4</f>
        <v>40544</v>
      </c>
      <c r="EK33" s="162">
        <f>DF4</f>
        <v>100</v>
      </c>
      <c r="EL33" s="17">
        <f>EK33*(1-EK$32)*EXP($BW$38*15)</f>
        <v>91.368346592039458</v>
      </c>
      <c r="EM33" s="17">
        <f t="shared" ref="EM33:FB48" si="74">EL33*(1-EL$32)*EXP($BW$38*15)</f>
        <v>83.481747589630487</v>
      </c>
      <c r="EN33" s="17">
        <f t="shared" si="74"/>
        <v>76.275892478785138</v>
      </c>
      <c r="EO33" s="17">
        <f t="shared" si="74"/>
        <v>69.692021806187768</v>
      </c>
      <c r="EP33" s="164">
        <f t="shared" si="74"/>
        <v>63.67644803087736</v>
      </c>
      <c r="EQ33" s="164">
        <f t="shared" si="74"/>
        <v>58.18011773435191</v>
      </c>
      <c r="ER33" s="164">
        <f t="shared" si="74"/>
        <v>53.158211619179269</v>
      </c>
      <c r="ES33" s="164">
        <f t="shared" si="74"/>
        <v>48.569779034341508</v>
      </c>
      <c r="ET33" s="164">
        <f t="shared" si="74"/>
        <v>44.377404047084866</v>
      </c>
      <c r="EU33" s="164">
        <f t="shared" si="74"/>
        <v>40.54690033829025</v>
      </c>
      <c r="EV33" s="164">
        <f t="shared" si="74"/>
        <v>37.047032433417854</v>
      </c>
      <c r="EW33" s="164">
        <f t="shared" si="74"/>
        <v>33.849260995830498</v>
      </c>
      <c r="EX33" s="164">
        <f t="shared" si="74"/>
        <v>30.92751010551444</v>
      </c>
      <c r="EY33" s="164">
        <f t="shared" si="74"/>
        <v>28.257954625494463</v>
      </c>
      <c r="EZ33" s="164">
        <f t="shared" si="74"/>
        <v>25.818825922043029</v>
      </c>
      <c r="FA33" s="164">
        <f t="shared" si="74"/>
        <v>23.590234354447603</v>
      </c>
      <c r="FB33" s="164">
        <f t="shared" si="74"/>
        <v>21.554007086846049</v>
      </c>
      <c r="FC33" s="164">
        <f t="shared" ref="FC33:FH48" si="75">FB33*(1-FB$32)*EXP($BW$38*15)</f>
        <v>19.693539899582245</v>
      </c>
      <c r="FD33" s="164">
        <f t="shared" si="75"/>
        <v>17.993661791691885</v>
      </c>
      <c r="FE33" s="164">
        <f t="shared" si="75"/>
        <v>16.44051127043242</v>
      </c>
      <c r="FF33" s="164">
        <f t="shared" si="75"/>
        <v>15.021423319072005</v>
      </c>
      <c r="FG33" s="164">
        <f t="shared" si="75"/>
        <v>13.724826121227148</v>
      </c>
      <c r="FH33" s="164">
        <f t="shared" si="75"/>
        <v>12.540146699597587</v>
      </c>
    </row>
    <row r="34" spans="2:164" ht="13" x14ac:dyDescent="0.3">
      <c r="B34" s="492" t="str">
        <f>'Colony Type'!B86</f>
        <v>P: Package bee colony (3 lb), installed on drawn comb and fed well</v>
      </c>
      <c r="C34" s="492"/>
      <c r="D34" s="492"/>
      <c r="E34" s="492"/>
      <c r="F34" s="492"/>
      <c r="G34" s="492"/>
      <c r="H34" s="492"/>
      <c r="I34" s="492"/>
      <c r="J34" s="492"/>
      <c r="K34" s="492"/>
      <c r="L34" s="492"/>
      <c r="M34" s="492"/>
      <c r="AG34" s="525" t="s">
        <v>359</v>
      </c>
      <c r="AH34" s="525"/>
      <c r="AI34" s="525"/>
      <c r="AJ34" s="525"/>
      <c r="AK34" s="525"/>
      <c r="AL34" s="525"/>
      <c r="AM34" s="525"/>
      <c r="AN34" s="525"/>
      <c r="AO34" s="525"/>
      <c r="AP34" s="525"/>
      <c r="AQ34" s="525"/>
      <c r="AR34" s="525"/>
      <c r="AS34" s="525"/>
      <c r="AT34" s="525"/>
      <c r="AU34" s="525"/>
      <c r="AV34" s="525"/>
      <c r="AW34" s="525"/>
      <c r="AX34" s="525"/>
      <c r="AY34" s="525"/>
      <c r="AZ34" s="525"/>
      <c r="BB34" s="64"/>
      <c r="BF34" s="64"/>
      <c r="BP34" s="359">
        <f t="shared" si="71"/>
        <v>6.0000000000000001E-3</v>
      </c>
      <c r="BQ34" s="61">
        <f t="shared" si="72"/>
        <v>6.0000000000000001E-3</v>
      </c>
      <c r="BR34" s="381" t="s">
        <v>331</v>
      </c>
      <c r="BX34"/>
      <c r="BY34"/>
      <c r="CB34"/>
      <c r="CC34"/>
      <c r="CD34"/>
      <c r="CE34" s="37"/>
      <c r="CF34" s="37"/>
      <c r="CI34"/>
      <c r="CJ34"/>
      <c r="CK34" s="55"/>
      <c r="CS34" s="14"/>
      <c r="CT34" s="451"/>
      <c r="CU34" s="451"/>
      <c r="CV34" s="451"/>
      <c r="CW34" s="451"/>
      <c r="CX34" s="381"/>
      <c r="CY34" s="255"/>
      <c r="CZ34" s="443"/>
      <c r="DF34" s="17"/>
      <c r="DG34" s="17"/>
      <c r="DH34" s="17"/>
      <c r="DI34" s="17"/>
      <c r="DJ34" s="17"/>
      <c r="DK34" s="17"/>
      <c r="DL34" s="17"/>
      <c r="DM34" s="31"/>
      <c r="EJ34" s="272">
        <f t="shared" si="73"/>
        <v>40558</v>
      </c>
      <c r="EL34" s="162">
        <f>EJ5</f>
        <v>11.540349336222214</v>
      </c>
      <c r="EM34" s="17">
        <f t="shared" si="74"/>
        <v>10.544226379451638</v>
      </c>
      <c r="EN34" s="17">
        <f t="shared" si="74"/>
        <v>9.6340853038266268</v>
      </c>
      <c r="EO34" s="17">
        <f t="shared" si="74"/>
        <v>8.8025044513730499</v>
      </c>
      <c r="EP34" s="17">
        <f t="shared" si="74"/>
        <v>8.0427027759102305</v>
      </c>
      <c r="EQ34" s="164">
        <f t="shared" si="74"/>
        <v>7.3484845476612382</v>
      </c>
      <c r="ER34" s="164">
        <f>EQ34*(1-EQ$32)*EXP($BW$38*15)</f>
        <v>6.7141888307695829</v>
      </c>
      <c r="ES34" s="164">
        <f t="shared" si="74"/>
        <v>6.1346433217415548</v>
      </c>
      <c r="ET34" s="164">
        <f t="shared" si="74"/>
        <v>5.6051221723942266</v>
      </c>
      <c r="EU34" s="164">
        <f t="shared" si="74"/>
        <v>5.1213074533804086</v>
      </c>
      <c r="EV34" s="164">
        <f t="shared" si="74"/>
        <v>4.6792539440485612</v>
      </c>
      <c r="EW34" s="164">
        <f t="shared" si="74"/>
        <v>4.2753569615199654</v>
      </c>
      <c r="EX34" s="164">
        <f t="shared" si="74"/>
        <v>3.9063229666484491</v>
      </c>
      <c r="EY34" s="164">
        <f t="shared" si="74"/>
        <v>3.5691427071717929</v>
      </c>
      <c r="EZ34" s="164">
        <f t="shared" si="74"/>
        <v>3.2610666790532239</v>
      </c>
      <c r="FA34" s="164">
        <f t="shared" si="74"/>
        <v>2.979582705914861</v>
      </c>
      <c r="FB34" s="164">
        <f t="shared" si="74"/>
        <v>2.7223954537367581</v>
      </c>
      <c r="FC34" s="164">
        <f t="shared" si="75"/>
        <v>2.4874077137761264</v>
      </c>
      <c r="FD34" s="164">
        <f t="shared" si="75"/>
        <v>2.2727033010800959</v>
      </c>
      <c r="FE34" s="164">
        <f t="shared" si="75"/>
        <v>2.076531429139584</v>
      </c>
      <c r="FF34" s="164">
        <f t="shared" si="75"/>
        <v>1.8972924332688854</v>
      </c>
      <c r="FG34" s="164">
        <f t="shared" si="75"/>
        <v>1.7335247262936542</v>
      </c>
      <c r="FH34" s="164">
        <f t="shared" si="75"/>
        <v>1.5838928801786893</v>
      </c>
    </row>
    <row r="35" spans="2:164" x14ac:dyDescent="0.4">
      <c r="B35" s="445" t="str">
        <f>'Colony Type'!B114</f>
        <v>A: Subtropical colony, dry climate; no winter brood break--Southern California</v>
      </c>
      <c r="C35" s="445"/>
      <c r="D35" s="445"/>
      <c r="E35" s="445"/>
      <c r="F35" s="445"/>
      <c r="G35" s="445"/>
      <c r="H35" s="445"/>
      <c r="I35" s="445"/>
      <c r="J35" s="445"/>
      <c r="K35" s="607"/>
      <c r="L35" s="608"/>
      <c r="M35" s="609"/>
      <c r="AG35" t="s">
        <v>371</v>
      </c>
      <c r="BC35"/>
      <c r="BO35" s="60"/>
      <c r="BP35" s="320">
        <f t="shared" si="71"/>
        <v>0.6</v>
      </c>
      <c r="BQ35" s="170">
        <f t="shared" si="72"/>
        <v>0.6</v>
      </c>
      <c r="BR35" s="381" t="s">
        <v>132</v>
      </c>
      <c r="CB35"/>
      <c r="CC35"/>
      <c r="CE35" s="37"/>
      <c r="CF35" s="37"/>
      <c r="CI35"/>
      <c r="CJ35"/>
      <c r="CK35" s="55"/>
      <c r="CS35" s="14"/>
      <c r="CT35" s="451"/>
      <c r="CU35" s="451"/>
      <c r="CV35" s="451"/>
      <c r="CW35" s="451"/>
      <c r="CX35" s="381"/>
      <c r="CY35" s="255"/>
      <c r="DF35" s="17"/>
      <c r="DG35" s="17"/>
      <c r="DH35" s="17"/>
      <c r="DI35" s="17"/>
      <c r="DJ35" s="17"/>
      <c r="DK35" s="17"/>
      <c r="DL35" s="17"/>
      <c r="DM35" s="31"/>
      <c r="EJ35" s="272">
        <f t="shared" si="73"/>
        <v>40575</v>
      </c>
      <c r="EM35" s="162">
        <f>EJ6</f>
        <v>23.970768503999395</v>
      </c>
      <c r="EN35" s="17">
        <f t="shared" si="74"/>
        <v>21.901694847509599</v>
      </c>
      <c r="EO35" s="17">
        <f t="shared" si="74"/>
        <v>20.011216457803421</v>
      </c>
      <c r="EP35" s="17">
        <f t="shared" si="74"/>
        <v>18.283917610449073</v>
      </c>
      <c r="EQ35" s="17">
        <f t="shared" si="74"/>
        <v>16.705713212918049</v>
      </c>
      <c r="ER35" s="164">
        <f t="shared" si="74"/>
        <v>15.263733949051094</v>
      </c>
      <c r="ES35" s="164">
        <f t="shared" si="74"/>
        <v>13.946221337455796</v>
      </c>
      <c r="ET35" s="164">
        <f t="shared" si="74"/>
        <v>12.742431848099573</v>
      </c>
      <c r="EU35" s="164">
        <f t="shared" si="74"/>
        <v>11.642549295226036</v>
      </c>
      <c r="EV35" s="164">
        <f t="shared" si="74"/>
        <v>10.637604792211173</v>
      </c>
      <c r="EW35" s="164">
        <f t="shared" si="74"/>
        <v>9.7194036156389032</v>
      </c>
      <c r="EX35" s="164">
        <f t="shared" si="74"/>
        <v>8.8804583822161689</v>
      </c>
      <c r="EY35" s="164">
        <f t="shared" si="74"/>
        <v>8.1139279936250901</v>
      </c>
      <c r="EZ35" s="164">
        <f t="shared" si="74"/>
        <v>7.4135618514438857</v>
      </c>
      <c r="FA35" s="164">
        <f t="shared" si="74"/>
        <v>6.7736488872424676</v>
      </c>
      <c r="FB35" s="164">
        <f t="shared" si="74"/>
        <v>6.1889709922235223</v>
      </c>
      <c r="FC35" s="164">
        <f t="shared" si="75"/>
        <v>5.6547604666555715</v>
      </c>
      <c r="FD35" s="164">
        <f t="shared" si="75"/>
        <v>5.1666611421234903</v>
      </c>
      <c r="FE35" s="164">
        <f t="shared" si="75"/>
        <v>4.7206928595716153</v>
      </c>
      <c r="FF35" s="164">
        <f t="shared" si="75"/>
        <v>4.3132190134790518</v>
      </c>
      <c r="FG35" s="164">
        <f t="shared" si="75"/>
        <v>3.9409168975092852</v>
      </c>
      <c r="FH35" s="164">
        <f t="shared" si="75"/>
        <v>3.6007506098205324</v>
      </c>
    </row>
    <row r="36" spans="2:164" ht="13" customHeight="1" x14ac:dyDescent="0.4">
      <c r="B36" s="492" t="str">
        <f>'Colony Type'!B142</f>
        <v>B: High latitude colony--short summer, long winter brood break</v>
      </c>
      <c r="C36" s="492"/>
      <c r="D36" s="492"/>
      <c r="E36" s="492"/>
      <c r="F36" s="492"/>
      <c r="G36" s="492"/>
      <c r="H36" s="492"/>
      <c r="I36" s="492"/>
      <c r="J36" s="492"/>
      <c r="K36" s="492"/>
      <c r="L36" s="492"/>
      <c r="M36" s="492"/>
      <c r="AG36" s="358" t="s">
        <v>329</v>
      </c>
      <c r="BC36"/>
      <c r="BP36" s="12"/>
      <c r="BQ36">
        <v>15.208333333333334</v>
      </c>
      <c r="BR36" s="234" t="s">
        <v>286</v>
      </c>
      <c r="BV36" t="s">
        <v>208</v>
      </c>
      <c r="CB36"/>
      <c r="CC36"/>
      <c r="CE36" s="37"/>
      <c r="CF36" s="37"/>
      <c r="CI36"/>
      <c r="CJ36"/>
      <c r="CK36" s="55"/>
      <c r="CR36" s="37"/>
      <c r="CS36" s="14"/>
      <c r="CT36" s="451"/>
      <c r="CU36" s="451"/>
      <c r="CV36" s="451"/>
      <c r="CW36" s="451"/>
      <c r="CX36" s="381"/>
      <c r="CY36" s="255"/>
      <c r="DF36" s="17"/>
      <c r="DG36" s="17"/>
      <c r="DH36" s="17"/>
      <c r="DI36" s="17"/>
      <c r="DJ36" s="17"/>
      <c r="DK36" s="17"/>
      <c r="DL36" s="17"/>
      <c r="DM36" s="31"/>
      <c r="EJ36" s="272">
        <f t="shared" si="73"/>
        <v>40589</v>
      </c>
      <c r="EN36" s="162">
        <f>EJ7</f>
        <v>27.661472863641137</v>
      </c>
      <c r="EO36" s="17">
        <f t="shared" si="74"/>
        <v>25.273830398514576</v>
      </c>
      <c r="EP36" s="17">
        <f t="shared" si="74"/>
        <v>23.092280955599026</v>
      </c>
      <c r="EQ36" s="17">
        <f t="shared" si="74"/>
        <v>21.09903529951924</v>
      </c>
      <c r="ER36" s="17">
        <f t="shared" si="74"/>
        <v>19.27783970004149</v>
      </c>
      <c r="ES36" s="164">
        <f t="shared" si="74"/>
        <v>17.61384339259169</v>
      </c>
      <c r="ET36" s="164">
        <f t="shared" si="74"/>
        <v>16.093477479122217</v>
      </c>
      <c r="EU36" s="164">
        <f t="shared" si="74"/>
        <v>14.704344281836203</v>
      </c>
      <c r="EV36" s="164">
        <f t="shared" si="74"/>
        <v>13.435116247514838</v>
      </c>
      <c r="EW36" s="164">
        <f t="shared" si="74"/>
        <v>12.275443578072764</v>
      </c>
      <c r="EX36" s="164">
        <f t="shared" si="74"/>
        <v>11.215869834123774</v>
      </c>
      <c r="EY36" s="164">
        <f t="shared" si="74"/>
        <v>10.247754823354212</v>
      </c>
      <c r="EZ36" s="164">
        <f t="shared" si="74"/>
        <v>9.3632041449047172</v>
      </c>
      <c r="FA36" s="164">
        <f t="shared" si="74"/>
        <v>8.5550048152367477</v>
      </c>
      <c r="FB36" s="164">
        <f t="shared" si="74"/>
        <v>7.8165664505511767</v>
      </c>
      <c r="FC36" s="164">
        <f t="shared" si="75"/>
        <v>7.141867526136676</v>
      </c>
      <c r="FD36" s="164">
        <f t="shared" si="75"/>
        <v>6.5254062744248724</v>
      </c>
      <c r="FE36" s="164">
        <f t="shared" si="75"/>
        <v>5.9621558213552071</v>
      </c>
      <c r="FF36" s="164">
        <f t="shared" si="75"/>
        <v>5.4475231952132823</v>
      </c>
      <c r="FG36" s="164">
        <f t="shared" si="75"/>
        <v>4.9773118736842141</v>
      </c>
      <c r="FH36" s="164">
        <f t="shared" si="75"/>
        <v>4.5476875637145264</v>
      </c>
    </row>
    <row r="37" spans="2:164" ht="13" customHeight="1" x14ac:dyDescent="0.4">
      <c r="B37" s="493" t="str">
        <f>'Colony Type'!B170</f>
        <v>C: California 8-frame almond colony shaken twice in April.   Enter a 25% "treatment" in April to account for mites lost on shook bees</v>
      </c>
      <c r="C37" s="493"/>
      <c r="D37" s="493"/>
      <c r="E37" s="493"/>
      <c r="F37" s="493"/>
      <c r="G37" s="493"/>
      <c r="H37" s="493"/>
      <c r="I37" s="493"/>
      <c r="J37" s="493"/>
      <c r="K37" s="493"/>
      <c r="L37" s="493"/>
      <c r="M37" s="493"/>
      <c r="AG37" s="6" t="s">
        <v>200</v>
      </c>
      <c r="AH37" s="443"/>
      <c r="BG37" s="66"/>
      <c r="BP37" s="385">
        <v>0.5</v>
      </c>
      <c r="BQ37" s="382">
        <v>0.5</v>
      </c>
      <c r="BR37" s="381" t="s">
        <v>333</v>
      </c>
      <c r="BW37" s="85">
        <f>LN(1-BQ33)</f>
        <v>-5.0125418235442863E-3</v>
      </c>
      <c r="BX37" s="443" t="s">
        <v>175</v>
      </c>
      <c r="CE37" s="30"/>
      <c r="CF37" s="30"/>
      <c r="CI37"/>
      <c r="CJ37"/>
      <c r="CK37" s="55"/>
      <c r="CR37" s="37"/>
      <c r="CS37" s="14"/>
      <c r="CT37" s="451"/>
      <c r="CU37" s="451"/>
      <c r="CV37" s="451"/>
      <c r="CW37" s="451"/>
      <c r="CX37" s="381"/>
      <c r="CY37" s="255"/>
      <c r="DM37" s="31"/>
      <c r="EJ37" s="272">
        <f t="shared" si="73"/>
        <v>40603</v>
      </c>
      <c r="EO37" s="162">
        <f>EJ8</f>
        <v>32.565754583867559</v>
      </c>
      <c r="EP37" s="17">
        <f>EO37*(1-EO$32)*EXP($BW$38*15)</f>
        <v>29.75479151850109</v>
      </c>
      <c r="EQ37" s="17">
        <f t="shared" si="74"/>
        <v>27.186461042362836</v>
      </c>
      <c r="ER37" s="17">
        <f t="shared" si="74"/>
        <v>24.839819951295862</v>
      </c>
      <c r="ES37" s="17">
        <f t="shared" si="74"/>
        <v>22.695732785938571</v>
      </c>
      <c r="ET37" s="164">
        <f t="shared" si="74"/>
        <v>20.736715793459489</v>
      </c>
      <c r="EU37" s="164">
        <f t="shared" si="74"/>
        <v>18.946794357974252</v>
      </c>
      <c r="EV37" s="164">
        <f t="shared" si="74"/>
        <v>17.311372737074894</v>
      </c>
      <c r="EW37" s="164">
        <f t="shared" si="74"/>
        <v>15.817115042250418</v>
      </c>
      <c r="EX37" s="164">
        <f t="shared" si="74"/>
        <v>14.45183649266497</v>
      </c>
      <c r="EY37" s="164">
        <f t="shared" si="74"/>
        <v>13.20440405553297</v>
      </c>
      <c r="EZ37" s="164">
        <f t="shared" si="74"/>
        <v>12.06464566287268</v>
      </c>
      <c r="FA37" s="164">
        <f t="shared" si="74"/>
        <v>11.023267264354967</v>
      </c>
      <c r="FB37" s="164">
        <f t="shared" si="74"/>
        <v>10.071777039862672</v>
      </c>
      <c r="FC37" s="164">
        <f t="shared" si="75"/>
        <v>9.2024161537591791</v>
      </c>
      <c r="FD37" s="164">
        <f t="shared" si="75"/>
        <v>8.4080954862085147</v>
      </c>
      <c r="FE37" s="164">
        <f t="shared" si="75"/>
        <v>7.682337825628621</v>
      </c>
      <c r="FF37" s="164">
        <f t="shared" si="75"/>
        <v>7.0192250508917065</v>
      </c>
      <c r="FG37" s="164">
        <f t="shared" si="75"/>
        <v>6.4133498725739928</v>
      </c>
      <c r="FH37" s="164">
        <f t="shared" si="75"/>
        <v>5.8597717397335272</v>
      </c>
    </row>
    <row r="38" spans="2:164" ht="13" customHeight="1" x14ac:dyDescent="0.4">
      <c r="B38" s="493"/>
      <c r="C38" s="493"/>
      <c r="D38" s="493"/>
      <c r="E38" s="493"/>
      <c r="F38" s="493"/>
      <c r="G38" s="493"/>
      <c r="H38" s="493"/>
      <c r="I38" s="493"/>
      <c r="J38" s="493"/>
      <c r="K38" s="493"/>
      <c r="L38" s="493"/>
      <c r="M38" s="493"/>
      <c r="AG38" s="526"/>
      <c r="AH38" s="527"/>
      <c r="AI38" t="s">
        <v>358</v>
      </c>
      <c r="BE38" t="s">
        <v>208</v>
      </c>
      <c r="BH38" s="235"/>
      <c r="BP38" s="385">
        <v>7.0000000000000007E-2</v>
      </c>
      <c r="BQ38" s="382">
        <v>0.08</v>
      </c>
      <c r="BR38" s="381" t="s">
        <v>232</v>
      </c>
      <c r="BW38" s="85">
        <f>LN(1-BQ34)</f>
        <v>-6.0180723255630212E-3</v>
      </c>
      <c r="BX38" s="443" t="s">
        <v>210</v>
      </c>
      <c r="CE38" s="30"/>
      <c r="CF38" s="30"/>
      <c r="CH38" s="58"/>
      <c r="CI38"/>
      <c r="CJ38"/>
      <c r="CK38" s="55"/>
      <c r="CR38" s="37"/>
      <c r="CS38" s="14"/>
      <c r="CT38" s="451"/>
      <c r="CU38" s="451"/>
      <c r="CV38" s="451"/>
      <c r="CW38" s="451"/>
      <c r="CX38" s="381"/>
      <c r="CY38" s="255"/>
      <c r="DM38" s="31"/>
      <c r="EJ38" s="272">
        <f t="shared" si="73"/>
        <v>40617</v>
      </c>
      <c r="EP38" s="162">
        <f>EJ9</f>
        <v>61.421953339040869</v>
      </c>
      <c r="EQ38" s="17">
        <f t="shared" si="74"/>
        <v>56.120223210415617</v>
      </c>
      <c r="ER38" s="17">
        <f t="shared" si="74"/>
        <v>51.276120051118717</v>
      </c>
      <c r="ES38" s="17">
        <f t="shared" si="74"/>
        <v>46.850143087256392</v>
      </c>
      <c r="ET38" s="17">
        <f t="shared" si="74"/>
        <v>42.806201114830834</v>
      </c>
      <c r="EU38" s="164">
        <f t="shared" si="74"/>
        <v>39.111318197484096</v>
      </c>
      <c r="EV38" s="164">
        <f t="shared" si="74"/>
        <v>35.735364767392667</v>
      </c>
      <c r="EW38" s="164">
        <f t="shared" si="74"/>
        <v>32.650811936600888</v>
      </c>
      <c r="EX38" s="164">
        <f t="shared" si="74"/>
        <v>29.83250701534849</v>
      </c>
      <c r="EY38" s="164">
        <f t="shared" si="74"/>
        <v>27.257468406878097</v>
      </c>
      <c r="EZ38" s="164">
        <f t="shared" si="74"/>
        <v>24.904698206212036</v>
      </c>
      <c r="FA38" s="164">
        <f t="shared" si="74"/>
        <v>22.755010974753247</v>
      </c>
      <c r="FB38" s="164">
        <f t="shared" si="74"/>
        <v>20.790877294469166</v>
      </c>
      <c r="FC38" s="164">
        <f t="shared" si="75"/>
        <v>18.996280825936225</v>
      </c>
      <c r="FD38" s="164">
        <f t="shared" si="75"/>
        <v>17.356587704638546</v>
      </c>
      <c r="FE38" s="164">
        <f t="shared" si="75"/>
        <v>15.858427210525454</v>
      </c>
      <c r="FF38" s="164">
        <f t="shared" si="75"/>
        <v>14.489582737759193</v>
      </c>
      <c r="FG38" s="164">
        <f t="shared" si="75"/>
        <v>13.23889217557614</v>
      </c>
      <c r="FH38" s="164">
        <f t="shared" si="75"/>
        <v>12.096156887926801</v>
      </c>
    </row>
    <row r="39" spans="2:164" ht="13" customHeight="1" x14ac:dyDescent="0.4">
      <c r="B39" s="493" t="str">
        <f>'Colony Type'!B198</f>
        <v>R: Randy's California hives, split 4 ways after almonds and oxalic'd (enter a total 90% mite reduction on Apr 1 from splitting 4 ways, oxalic trtmt &amp; drone frame removal)</v>
      </c>
      <c r="C39" s="493"/>
      <c r="D39" s="493"/>
      <c r="E39" s="493"/>
      <c r="F39" s="493"/>
      <c r="G39" s="493"/>
      <c r="H39" s="493"/>
      <c r="I39" s="493"/>
      <c r="J39" s="493"/>
      <c r="K39" s="493"/>
      <c r="L39" s="493"/>
      <c r="M39" s="493"/>
      <c r="AG39" s="111" t="str">
        <f>IF($AG$38="","V","")</f>
        <v>V</v>
      </c>
      <c r="AH39" s="111" t="str">
        <f>IF($AG$38="custom","V","")</f>
        <v/>
      </c>
      <c r="AI39" s="124" t="str">
        <f>IF($AG$38="","Blue Default Values Apply--type 'custom' into the green cell to change",IF(AG38="custom","Custom Values Apply--note the profound effects of tiny tweaks of some variables!","Error"))</f>
        <v>Blue Default Values Apply--type 'custom' into the green cell to change</v>
      </c>
      <c r="AZ39" s="463" t="s">
        <v>253</v>
      </c>
      <c r="BH39" s="235"/>
      <c r="BP39" s="321">
        <f>AG49</f>
        <v>0.05</v>
      </c>
      <c r="BQ39" s="170">
        <f>IF($AG$38="custom",AH49,IF($AG$38="",BP39,"error"))</f>
        <v>0.05</v>
      </c>
      <c r="BR39" s="381" t="s">
        <v>307</v>
      </c>
      <c r="BV39" s="12"/>
      <c r="CE39" s="37"/>
      <c r="CF39" s="37"/>
      <c r="CI39" s="20"/>
      <c r="CJ39" s="20"/>
      <c r="CK39" s="99"/>
      <c r="CR39" s="37"/>
      <c r="CS39" s="14"/>
      <c r="CT39" s="451"/>
      <c r="CU39" s="451"/>
      <c r="CV39" s="451"/>
      <c r="CW39" s="451"/>
      <c r="CX39" s="381"/>
      <c r="CY39" s="255"/>
      <c r="DM39" s="31"/>
      <c r="EJ39" s="272">
        <f t="shared" si="73"/>
        <v>40634</v>
      </c>
      <c r="EQ39" s="162">
        <f>EJ10</f>
        <v>0</v>
      </c>
      <c r="ER39" s="17">
        <f t="shared" si="74"/>
        <v>0</v>
      </c>
      <c r="ES39" s="17">
        <f t="shared" si="74"/>
        <v>0</v>
      </c>
      <c r="ET39" s="17">
        <f t="shared" si="74"/>
        <v>0</v>
      </c>
      <c r="EU39" s="17">
        <f t="shared" si="74"/>
        <v>0</v>
      </c>
      <c r="EV39" s="164">
        <f t="shared" si="74"/>
        <v>0</v>
      </c>
      <c r="EW39" s="164">
        <f t="shared" si="74"/>
        <v>0</v>
      </c>
      <c r="EX39" s="164">
        <f t="shared" si="74"/>
        <v>0</v>
      </c>
      <c r="EY39" s="164">
        <f t="shared" si="74"/>
        <v>0</v>
      </c>
      <c r="EZ39" s="164">
        <f t="shared" si="74"/>
        <v>0</v>
      </c>
      <c r="FA39" s="164">
        <f t="shared" si="74"/>
        <v>0</v>
      </c>
      <c r="FB39" s="164">
        <f t="shared" si="74"/>
        <v>0</v>
      </c>
      <c r="FC39" s="164">
        <f t="shared" si="75"/>
        <v>0</v>
      </c>
      <c r="FD39" s="164">
        <f t="shared" si="75"/>
        <v>0</v>
      </c>
      <c r="FE39" s="164">
        <f t="shared" si="75"/>
        <v>0</v>
      </c>
      <c r="FF39" s="164">
        <f t="shared" si="75"/>
        <v>0</v>
      </c>
      <c r="FG39" s="164">
        <f t="shared" si="75"/>
        <v>0</v>
      </c>
      <c r="FH39" s="164">
        <f t="shared" si="75"/>
        <v>0</v>
      </c>
    </row>
    <row r="40" spans="2:164" ht="12.75" customHeight="1" x14ac:dyDescent="0.4">
      <c r="B40" s="493"/>
      <c r="C40" s="493"/>
      <c r="D40" s="493"/>
      <c r="E40" s="493"/>
      <c r="F40" s="493"/>
      <c r="G40" s="493"/>
      <c r="H40" s="493"/>
      <c r="I40" s="493"/>
      <c r="J40" s="493"/>
      <c r="K40" s="493"/>
      <c r="L40" s="493"/>
      <c r="M40" s="493"/>
      <c r="AG40" s="120">
        <v>1.45</v>
      </c>
      <c r="AH40" s="318">
        <v>0.73</v>
      </c>
      <c r="AI40" s="381" t="s">
        <v>338</v>
      </c>
      <c r="AZ40" s="465" t="s">
        <v>208</v>
      </c>
      <c r="BA40" s="528">
        <f>IF(AG38="custom", AH40*AH41,AG40*AG41)</f>
        <v>1.0149999999999999</v>
      </c>
      <c r="BB40" s="529" t="s">
        <v>194</v>
      </c>
      <c r="BC40" s="530"/>
      <c r="BD40" s="530"/>
      <c r="BE40" s="530"/>
      <c r="BF40" s="530"/>
      <c r="BG40" s="531"/>
      <c r="BH40" s="235"/>
      <c r="CE40" s="37"/>
      <c r="CF40" s="37"/>
      <c r="CI40" s="12"/>
      <c r="CJ40" s="12"/>
      <c r="CK40" s="55"/>
      <c r="CR40" s="37"/>
      <c r="CS40" s="14"/>
      <c r="CT40" s="451"/>
      <c r="CU40" s="451"/>
      <c r="CV40" s="451"/>
      <c r="CW40" s="451"/>
      <c r="CX40" s="381"/>
      <c r="CY40" s="255"/>
      <c r="DM40" s="31"/>
      <c r="EJ40" s="272">
        <f t="shared" si="73"/>
        <v>40648</v>
      </c>
      <c r="ER40" s="162">
        <f>EJ11</f>
        <v>0</v>
      </c>
      <c r="ES40" s="17">
        <f t="shared" si="74"/>
        <v>0</v>
      </c>
      <c r="ET40" s="17">
        <f t="shared" si="74"/>
        <v>0</v>
      </c>
      <c r="EU40" s="17">
        <f t="shared" si="74"/>
        <v>0</v>
      </c>
      <c r="EV40" s="17">
        <f t="shared" si="74"/>
        <v>0</v>
      </c>
      <c r="EW40" s="164">
        <f t="shared" si="74"/>
        <v>0</v>
      </c>
      <c r="EX40" s="164">
        <f t="shared" si="74"/>
        <v>0</v>
      </c>
      <c r="EY40" s="164">
        <f t="shared" si="74"/>
        <v>0</v>
      </c>
      <c r="EZ40" s="164">
        <f t="shared" si="74"/>
        <v>0</v>
      </c>
      <c r="FA40" s="164">
        <f t="shared" si="74"/>
        <v>0</v>
      </c>
      <c r="FB40" s="164">
        <f t="shared" si="74"/>
        <v>0</v>
      </c>
      <c r="FC40" s="164">
        <f t="shared" si="75"/>
        <v>0</v>
      </c>
      <c r="FD40" s="164">
        <f t="shared" si="75"/>
        <v>0</v>
      </c>
      <c r="FE40" s="164">
        <f t="shared" si="75"/>
        <v>0</v>
      </c>
      <c r="FF40" s="164">
        <f t="shared" si="75"/>
        <v>0</v>
      </c>
      <c r="FG40" s="164">
        <f t="shared" si="75"/>
        <v>0</v>
      </c>
      <c r="FH40" s="164">
        <f t="shared" si="75"/>
        <v>0</v>
      </c>
    </row>
    <row r="41" spans="2:164" ht="12.75" customHeight="1" x14ac:dyDescent="0.4">
      <c r="B41" s="493" t="str">
        <f>'Colony Type'!B226</f>
        <v>S: Colony swarming in May--enter a 50-60% "treatment" reduction of mites on 15 May</v>
      </c>
      <c r="C41" s="493"/>
      <c r="D41" s="493"/>
      <c r="E41" s="493"/>
      <c r="F41" s="493"/>
      <c r="G41" s="493"/>
      <c r="H41" s="493"/>
      <c r="I41" s="493"/>
      <c r="J41" s="493"/>
      <c r="K41" s="493"/>
      <c r="L41" s="493"/>
      <c r="M41" s="493"/>
      <c r="AG41" s="110">
        <v>0.7</v>
      </c>
      <c r="AH41" s="250">
        <v>0.7</v>
      </c>
      <c r="AI41" s="234" t="s">
        <v>225</v>
      </c>
      <c r="AW41" s="538" t="s">
        <v>208</v>
      </c>
      <c r="AX41" s="538"/>
      <c r="AY41" s="470"/>
      <c r="BA41" s="528"/>
      <c r="BB41" s="532"/>
      <c r="BC41" s="533"/>
      <c r="BD41" s="533"/>
      <c r="BE41" s="533"/>
      <c r="BF41" s="533"/>
      <c r="BG41" s="534"/>
      <c r="BH41" s="450"/>
      <c r="BI41" s="450"/>
      <c r="BJ41" s="450"/>
      <c r="BK41" s="450"/>
      <c r="BP41" s="87">
        <v>5</v>
      </c>
      <c r="BQ41" s="61">
        <f>IF($AG$38="custom",AH48,IF($AG$38="",BP41,"error"))</f>
        <v>5</v>
      </c>
      <c r="BR41" t="s">
        <v>6</v>
      </c>
      <c r="CE41" s="37"/>
      <c r="CF41" s="37"/>
      <c r="CI41"/>
      <c r="CJ41"/>
      <c r="CK41" s="55"/>
      <c r="CR41" s="37"/>
      <c r="CS41" s="14"/>
      <c r="CT41" s="451"/>
      <c r="CU41" s="451"/>
      <c r="CV41" s="451"/>
      <c r="CW41" s="451"/>
      <c r="CX41" s="381"/>
      <c r="CY41" s="255"/>
      <c r="DM41" s="31"/>
      <c r="EJ41" s="272">
        <f t="shared" si="73"/>
        <v>40664</v>
      </c>
      <c r="EL41" s="163" t="s">
        <v>185</v>
      </c>
      <c r="EM41" s="163"/>
      <c r="EN41" s="163"/>
      <c r="EO41" s="163"/>
      <c r="ES41" s="162">
        <f>EJ12</f>
        <v>99.540912617378524</v>
      </c>
      <c r="ET41" s="17">
        <f t="shared" si="74"/>
        <v>90.948886041125547</v>
      </c>
      <c r="EU41" s="17">
        <f t="shared" si="74"/>
        <v>83.098493419654588</v>
      </c>
      <c r="EV41" s="17">
        <f t="shared" si="74"/>
        <v>75.925719480433116</v>
      </c>
      <c r="EW41" s="17">
        <f t="shared" si="74"/>
        <v>69.372074527381756</v>
      </c>
      <c r="EX41" s="164">
        <f t="shared" si="74"/>
        <v>63.384117492266085</v>
      </c>
      <c r="EY41" s="164">
        <f t="shared" si="74"/>
        <v>57.913020154639192</v>
      </c>
      <c r="EZ41" s="164">
        <f t="shared" si="74"/>
        <v>52.914168976808405</v>
      </c>
      <c r="FA41" s="164">
        <f t="shared" si="74"/>
        <v>48.346801307027725</v>
      </c>
      <c r="FB41" s="164">
        <f t="shared" si="74"/>
        <v>44.173672984369759</v>
      </c>
      <c r="FC41" s="164">
        <f t="shared" si="75"/>
        <v>40.360754634793061</v>
      </c>
      <c r="FD41" s="164">
        <f t="shared" si="75"/>
        <v>36.876954181880357</v>
      </c>
      <c r="FE41" s="164">
        <f t="shared" si="75"/>
        <v>33.693863309488037</v>
      </c>
      <c r="FF41" s="164">
        <f t="shared" si="75"/>
        <v>30.785525808861049</v>
      </c>
      <c r="FG41" s="164">
        <f t="shared" si="75"/>
        <v>28.128225921221922</v>
      </c>
      <c r="FH41" s="164">
        <f t="shared" si="75"/>
        <v>25.70029494989393</v>
      </c>
    </row>
    <row r="42" spans="2:164" ht="13" customHeight="1" x14ac:dyDescent="0.3">
      <c r="B42" s="492" t="str">
        <f>'Colony Type'!B254</f>
        <v xml:space="preserve">F: Feral hive restricted to a 40-liter cavity (1 Langstroth deep), swarming twice </v>
      </c>
      <c r="C42" s="492"/>
      <c r="D42" s="492"/>
      <c r="E42" s="492"/>
      <c r="F42" s="492"/>
      <c r="G42" s="492"/>
      <c r="H42" s="492"/>
      <c r="I42" s="492"/>
      <c r="J42" s="492"/>
      <c r="K42" s="492"/>
      <c r="L42" s="492"/>
      <c r="M42" s="492"/>
      <c r="AG42" s="120">
        <v>3.5</v>
      </c>
      <c r="AH42" s="318">
        <v>1.75</v>
      </c>
      <c r="AI42" s="381" t="s">
        <v>197</v>
      </c>
      <c r="AJ42" s="12"/>
      <c r="AK42" s="12"/>
      <c r="AL42" s="12"/>
      <c r="AM42" s="12"/>
      <c r="AN42" s="12"/>
      <c r="AO42" s="12"/>
      <c r="AP42" s="12"/>
      <c r="AT42" s="539" t="s">
        <v>195</v>
      </c>
      <c r="AU42" s="541" t="s">
        <v>196</v>
      </c>
      <c r="AV42" s="541"/>
      <c r="AW42" s="541"/>
      <c r="AX42" s="541"/>
      <c r="AY42" s="541"/>
      <c r="AZ42" s="542"/>
      <c r="BB42" s="535"/>
      <c r="BC42" s="536"/>
      <c r="BD42" s="536"/>
      <c r="BE42" s="536"/>
      <c r="BF42" s="536"/>
      <c r="BG42" s="537"/>
      <c r="BP42" s="87">
        <v>5</v>
      </c>
      <c r="BQ42" s="61">
        <f>IF($AG$38="custom",$AH$47,IF($AG$38="",BP42,"error"))</f>
        <v>5</v>
      </c>
      <c r="BR42" t="s">
        <v>282</v>
      </c>
      <c r="CE42" s="37"/>
      <c r="CF42" s="37"/>
      <c r="CI42"/>
      <c r="CJ42"/>
      <c r="CK42" s="55"/>
      <c r="CR42" s="37"/>
      <c r="CS42" s="14"/>
      <c r="CT42" s="451"/>
      <c r="CU42" s="451"/>
      <c r="CV42" s="451"/>
      <c r="CW42" s="451"/>
      <c r="CX42" s="381"/>
      <c r="CY42" s="255"/>
      <c r="DM42" s="31"/>
      <c r="EJ42" s="272">
        <f t="shared" si="73"/>
        <v>40678</v>
      </c>
      <c r="ET42" s="162">
        <f>EJ13</f>
        <v>110.6065833352871</v>
      </c>
      <c r="EU42" s="17">
        <f t="shared" si="74"/>
        <v>101.05940641539807</v>
      </c>
      <c r="EV42" s="17">
        <f t="shared" si="74"/>
        <v>92.336308717478673</v>
      </c>
      <c r="EW42" s="17">
        <f t="shared" si="74"/>
        <v>84.366158579281461</v>
      </c>
      <c r="EX42" s="17">
        <f t="shared" si="74"/>
        <v>77.083964177107518</v>
      </c>
      <c r="EY42" s="164">
        <f t="shared" si="74"/>
        <v>70.430343556223136</v>
      </c>
      <c r="EZ42" s="164">
        <f t="shared" si="74"/>
        <v>64.351040406414086</v>
      </c>
      <c r="FA42" s="164">
        <f t="shared" si="74"/>
        <v>58.796481634115779</v>
      </c>
      <c r="FB42" s="164">
        <f t="shared" si="74"/>
        <v>53.721373123383735</v>
      </c>
      <c r="FC42" s="164">
        <f t="shared" si="75"/>
        <v>49.084330389375985</v>
      </c>
      <c r="FD42" s="164">
        <f t="shared" si="75"/>
        <v>44.8475411125468</v>
      </c>
      <c r="FE42" s="164">
        <f t="shared" si="75"/>
        <v>40.976456801719152</v>
      </c>
      <c r="FF42" s="164">
        <f t="shared" si="75"/>
        <v>37.439511071732085</v>
      </c>
      <c r="FG42" s="164">
        <f t="shared" si="75"/>
        <v>34.207862238385161</v>
      </c>
      <c r="FH42" s="164">
        <f t="shared" si="75"/>
        <v>31.255158131695143</v>
      </c>
    </row>
    <row r="43" spans="2:164" ht="13" customHeight="1" x14ac:dyDescent="0.3">
      <c r="B43" s="493" t="s">
        <v>353</v>
      </c>
      <c r="C43" s="493"/>
      <c r="D43" s="493"/>
      <c r="E43" s="493"/>
      <c r="F43" s="493"/>
      <c r="G43" s="493"/>
      <c r="H43" s="493"/>
      <c r="I43" s="493"/>
      <c r="J43" s="493"/>
      <c r="K43" s="493"/>
      <c r="L43" s="493"/>
      <c r="M43" s="493"/>
      <c r="AG43" s="110">
        <v>0.7</v>
      </c>
      <c r="AH43" s="250">
        <v>0.7</v>
      </c>
      <c r="AI43" s="381" t="s">
        <v>226</v>
      </c>
      <c r="AT43" s="540"/>
      <c r="AU43" s="543"/>
      <c r="AV43" s="543"/>
      <c r="AW43" s="543"/>
      <c r="AX43" s="543"/>
      <c r="AY43" s="543"/>
      <c r="AZ43" s="544"/>
      <c r="BP43" s="87">
        <v>4500</v>
      </c>
      <c r="BQ43" s="61">
        <v>4500</v>
      </c>
      <c r="BR43" s="23" t="s">
        <v>13</v>
      </c>
      <c r="CE43" s="37"/>
      <c r="CF43" s="37"/>
      <c r="CI43"/>
      <c r="CJ43"/>
      <c r="CK43" s="55"/>
      <c r="CR43" s="37"/>
      <c r="CS43" s="14"/>
      <c r="CT43" s="451"/>
      <c r="CU43" s="451"/>
      <c r="CV43" s="451"/>
      <c r="CW43" s="451"/>
      <c r="CX43" s="381"/>
      <c r="CY43" s="255"/>
      <c r="DM43" s="31"/>
      <c r="EJ43" s="272">
        <f t="shared" si="73"/>
        <v>40695</v>
      </c>
      <c r="EU43" s="162">
        <f>EJ14</f>
        <v>140.12367261658585</v>
      </c>
      <c r="EV43" s="17">
        <f t="shared" si="74"/>
        <v>128.02868285381686</v>
      </c>
      <c r="EW43" s="17">
        <f t="shared" si="74"/>
        <v>116.97769068709839</v>
      </c>
      <c r="EX43" s="17">
        <f t="shared" si="74"/>
        <v>106.88058186235192</v>
      </c>
      <c r="EY43" s="17">
        <f t="shared" si="74"/>
        <v>97.655020475582162</v>
      </c>
      <c r="EZ43" s="164">
        <f t="shared" si="74"/>
        <v>89.225777572657009</v>
      </c>
      <c r="FA43" s="164">
        <f t="shared" si="74"/>
        <v>81.524117702027468</v>
      </c>
      <c r="FB43" s="164">
        <f t="shared" si="74"/>
        <v>74.487238418090655</v>
      </c>
      <c r="FC43" s="164">
        <f t="shared" si="75"/>
        <v>68.057758164679839</v>
      </c>
      <c r="FD43" s="164">
        <f t="shared" si="75"/>
        <v>62.183248362676714</v>
      </c>
      <c r="FE43" s="164">
        <f t="shared" si="75"/>
        <v>56.815805886199165</v>
      </c>
      <c r="FF43" s="164">
        <f t="shared" si="75"/>
        <v>51.911662441162811</v>
      </c>
      <c r="FG43" s="164">
        <f t="shared" si="75"/>
        <v>47.430827660931207</v>
      </c>
      <c r="FH43" s="164">
        <f t="shared" si="75"/>
        <v>43.336763008712552</v>
      </c>
    </row>
    <row r="44" spans="2:164" ht="26" customHeight="1" x14ac:dyDescent="0.4">
      <c r="AG44" s="121">
        <v>5.0000000000000001E-3</v>
      </c>
      <c r="AH44" s="252">
        <v>5.0000000000000001E-3</v>
      </c>
      <c r="AI44" s="381" t="s">
        <v>327</v>
      </c>
      <c r="BE44" s="349" t="s">
        <v>208</v>
      </c>
      <c r="BL44" s="381"/>
      <c r="BM44" s="381"/>
      <c r="BN44" s="255"/>
      <c r="BP44" s="87">
        <v>2000</v>
      </c>
      <c r="BQ44" s="61">
        <v>2000</v>
      </c>
      <c r="BR44" s="443" t="s">
        <v>14</v>
      </c>
      <c r="CE44" s="37"/>
      <c r="CF44" s="37"/>
      <c r="CI44"/>
      <c r="CJ44"/>
      <c r="CK44" s="55"/>
      <c r="CR44" s="37"/>
      <c r="CS44" s="19"/>
      <c r="CT44" s="381"/>
      <c r="CU44" s="381"/>
      <c r="CV44" s="381"/>
      <c r="CW44" s="381"/>
      <c r="CX44" s="381"/>
      <c r="DM44" s="31"/>
      <c r="EJ44" s="272">
        <f t="shared" si="73"/>
        <v>40709</v>
      </c>
      <c r="EV44" s="162">
        <f>EJ15</f>
        <v>186.67765534674334</v>
      </c>
      <c r="EW44" s="17">
        <f t="shared" si="74"/>
        <v>170.56428714710535</v>
      </c>
      <c r="EX44" s="17">
        <f t="shared" si="74"/>
        <v>155.84176904280864</v>
      </c>
      <c r="EY44" s="17">
        <f t="shared" si="74"/>
        <v>142.39004767419905</v>
      </c>
      <c r="EZ44" s="17">
        <f t="shared" si="74"/>
        <v>130.09943227153241</v>
      </c>
      <c r="FA44" s="164">
        <f t="shared" si="74"/>
        <v>118.86970019212937</v>
      </c>
      <c r="FB44" s="164">
        <f t="shared" si="74"/>
        <v>108.60927966446296</v>
      </c>
      <c r="FC44" s="164">
        <f t="shared" si="75"/>
        <v>99.234503074943959</v>
      </c>
      <c r="FD44" s="164">
        <f>FC44*(1-FC$32)*EXP($BW$38*15)</f>
        <v>90.668924708402855</v>
      </c>
      <c r="FE44" s="164">
        <f t="shared" si="75"/>
        <v>82.842697378848825</v>
      </c>
      <c r="FF44" s="164">
        <f t="shared" si="75"/>
        <v>75.692002867300985</v>
      </c>
      <c r="FG44" s="164">
        <f t="shared" si="75"/>
        <v>69.158531522252005</v>
      </c>
      <c r="FH44" s="164">
        <f t="shared" si="75"/>
        <v>63.189006779216079</v>
      </c>
    </row>
    <row r="45" spans="2:164" x14ac:dyDescent="0.4">
      <c r="B45" s="495" t="s">
        <v>349</v>
      </c>
      <c r="C45" s="495"/>
      <c r="D45" s="495"/>
      <c r="E45" s="495"/>
      <c r="F45" s="495"/>
      <c r="G45" s="495"/>
      <c r="H45" s="495"/>
      <c r="AG45" s="121">
        <v>6.0000000000000001E-3</v>
      </c>
      <c r="AH45" s="252">
        <v>6.0000000000000001E-3</v>
      </c>
      <c r="AI45" s="381" t="s">
        <v>328</v>
      </c>
      <c r="AO45" s="12"/>
      <c r="AP45" s="12"/>
      <c r="AQ45" s="12"/>
      <c r="AR45" s="12"/>
      <c r="BA45" s="12"/>
      <c r="BB45" s="340" t="s">
        <v>208</v>
      </c>
      <c r="BC45" s="44"/>
      <c r="BD45" s="12"/>
      <c r="BL45" s="381"/>
      <c r="BM45" s="381"/>
      <c r="BP45" s="87"/>
      <c r="BQ45" s="61"/>
      <c r="BZ45" s="452"/>
      <c r="CE45" s="37"/>
      <c r="CF45" s="37"/>
      <c r="CI45"/>
      <c r="CJ45"/>
      <c r="CK45" s="55"/>
      <c r="CM45" s="14"/>
      <c r="CR45" s="37"/>
      <c r="CS45" s="19"/>
      <c r="CT45" s="381"/>
      <c r="CU45" s="381"/>
      <c r="CV45" s="381"/>
      <c r="CW45" s="381"/>
      <c r="CX45" s="381"/>
      <c r="DM45" s="31"/>
      <c r="EJ45" s="272">
        <f t="shared" si="73"/>
        <v>40725</v>
      </c>
      <c r="EW45" s="162">
        <f>EJ16</f>
        <v>215.03347080552516</v>
      </c>
      <c r="EX45" s="17">
        <f t="shared" si="74"/>
        <v>196.47252689448422</v>
      </c>
      <c r="EY45" s="17">
        <f t="shared" si="74"/>
        <v>179.51369933109029</v>
      </c>
      <c r="EZ45" s="17">
        <f t="shared" si="74"/>
        <v>164.01869898502221</v>
      </c>
      <c r="FA45" s="17">
        <f t="shared" si="74"/>
        <v>149.861173364389</v>
      </c>
      <c r="FB45" s="164">
        <f t="shared" si="74"/>
        <v>136.92567628647208</v>
      </c>
      <c r="FC45" s="164">
        <f t="shared" si="75"/>
        <v>125.10672648291781</v>
      </c>
      <c r="FD45" s="164">
        <f t="shared" si="75"/>
        <v>114.30794746286716</v>
      </c>
      <c r="FE45" s="164">
        <f t="shared" si="75"/>
        <v>104.44128162011884</v>
      </c>
      <c r="FF45" s="164">
        <f t="shared" si="75"/>
        <v>95.426272175838193</v>
      </c>
      <c r="FG45" s="164">
        <f t="shared" si="75"/>
        <v>87.189407101482757</v>
      </c>
      <c r="FH45" s="164">
        <f t="shared" si="75"/>
        <v>79.663519672027036</v>
      </c>
    </row>
    <row r="46" spans="2:164" x14ac:dyDescent="0.4">
      <c r="B46" s="412">
        <v>0</v>
      </c>
      <c r="C46" s="494" t="s">
        <v>288</v>
      </c>
      <c r="D46" s="494"/>
      <c r="E46" s="494"/>
      <c r="F46" s="494"/>
      <c r="G46" s="494"/>
      <c r="H46" s="494"/>
      <c r="AG46" s="110">
        <v>0.6</v>
      </c>
      <c r="AH46" s="250">
        <v>0.6</v>
      </c>
      <c r="AI46" s="381" t="s">
        <v>332</v>
      </c>
      <c r="BG46" s="452" t="s">
        <v>208</v>
      </c>
      <c r="BL46" s="381"/>
      <c r="BM46" s="381"/>
      <c r="BP46" s="169">
        <v>0.95</v>
      </c>
      <c r="BQ46" s="170">
        <v>0.95</v>
      </c>
      <c r="BR46" t="s">
        <v>187</v>
      </c>
      <c r="CE46" s="37"/>
      <c r="CF46" s="37"/>
      <c r="CI46"/>
      <c r="CJ46"/>
      <c r="CK46" s="55"/>
      <c r="CM46" s="14"/>
      <c r="CP46" s="44"/>
      <c r="CQ46" s="54"/>
      <c r="CR46" s="54"/>
      <c r="CS46" s="54"/>
      <c r="CT46" s="54"/>
      <c r="CU46" s="54"/>
      <c r="CV46" s="54"/>
      <c r="CW46" s="54"/>
      <c r="CY46" s="20"/>
      <c r="DM46" s="31"/>
      <c r="EJ46" s="272">
        <f t="shared" si="73"/>
        <v>40739</v>
      </c>
      <c r="EX46" s="162">
        <f>EJ17</f>
        <v>280.28432073623651</v>
      </c>
      <c r="EY46" s="17">
        <f t="shared" si="74"/>
        <v>256.09114961342812</v>
      </c>
      <c r="EZ46" s="17">
        <f t="shared" si="74"/>
        <v>233.98624917033533</v>
      </c>
      <c r="FA46" s="17">
        <f t="shared" si="74"/>
        <v>213.78936711966503</v>
      </c>
      <c r="FB46" s="17">
        <f t="shared" si="74"/>
        <v>195.3358099268232</v>
      </c>
      <c r="FC46" s="164">
        <f t="shared" si="75"/>
        <v>178.47509983230725</v>
      </c>
      <c r="FD46" s="164">
        <f t="shared" si="75"/>
        <v>163.06974779527093</v>
      </c>
      <c r="FE46" s="164">
        <f t="shared" si="75"/>
        <v>148.99413235234778</v>
      </c>
      <c r="FF46" s="164">
        <f t="shared" si="75"/>
        <v>136.13347524949512</v>
      </c>
      <c r="FG46" s="164">
        <f t="shared" si="75"/>
        <v>124.38290549374696</v>
      </c>
      <c r="FH46" s="164">
        <f t="shared" si="75"/>
        <v>113.64660419277561</v>
      </c>
    </row>
    <row r="47" spans="2:164" x14ac:dyDescent="0.4">
      <c r="B47" s="461">
        <v>1</v>
      </c>
      <c r="C47" s="494" t="s">
        <v>289</v>
      </c>
      <c r="D47" s="494"/>
      <c r="E47" s="494"/>
      <c r="F47" s="494"/>
      <c r="G47" s="494"/>
      <c r="H47" s="494"/>
      <c r="AG47" s="9">
        <v>4.5</v>
      </c>
      <c r="AH47" s="251">
        <v>5</v>
      </c>
      <c r="AI47" t="s">
        <v>198</v>
      </c>
      <c r="AO47" s="7"/>
      <c r="AZ47" s="44"/>
      <c r="BF47" s="452" t="s">
        <v>208</v>
      </c>
      <c r="CE47" s="37"/>
      <c r="CF47" s="37"/>
      <c r="CI47"/>
      <c r="CJ47"/>
      <c r="CK47" s="55"/>
      <c r="CM47" s="14"/>
      <c r="DM47" s="31"/>
      <c r="EJ47" s="272">
        <f t="shared" si="73"/>
        <v>40756</v>
      </c>
      <c r="EY47" s="162">
        <f>EJ18</f>
        <v>371.38805032933851</v>
      </c>
      <c r="EZ47" s="17">
        <f t="shared" si="74"/>
        <v>339.33112102632799</v>
      </c>
      <c r="FA47" s="17">
        <f t="shared" si="74"/>
        <v>310.04123475398825</v>
      </c>
      <c r="FB47" s="17">
        <f t="shared" si="74"/>
        <v>283.27954994826268</v>
      </c>
      <c r="FC47" s="17">
        <f t="shared" si="75"/>
        <v>258.82784102109821</v>
      </c>
      <c r="FD47" s="164">
        <f t="shared" si="75"/>
        <v>236.48671886084989</v>
      </c>
      <c r="FE47" s="164">
        <f t="shared" si="75"/>
        <v>216.07400493292329</v>
      </c>
      <c r="FF47" s="164">
        <f t="shared" si="75"/>
        <v>197.42324572241378</v>
      </c>
      <c r="FG47" s="164">
        <f t="shared" si="75"/>
        <v>180.38235540490874</v>
      </c>
      <c r="FH47" s="164">
        <f t="shared" si="75"/>
        <v>164.81237567724145</v>
      </c>
    </row>
    <row r="48" spans="2:164" ht="13" customHeight="1" x14ac:dyDescent="0.4">
      <c r="B48" s="461">
        <v>2</v>
      </c>
      <c r="C48" s="494" t="s">
        <v>291</v>
      </c>
      <c r="D48" s="494"/>
      <c r="E48" s="494"/>
      <c r="F48" s="494"/>
      <c r="G48" s="494"/>
      <c r="H48" s="494"/>
      <c r="AG48" s="9">
        <v>5</v>
      </c>
      <c r="AH48" s="319">
        <v>5</v>
      </c>
      <c r="AI48" s="443" t="s">
        <v>252</v>
      </c>
      <c r="AJ48" s="234"/>
      <c r="AK48" s="12"/>
      <c r="AL48" s="12"/>
      <c r="AM48" s="12"/>
      <c r="AN48" s="12"/>
      <c r="AO48" s="12"/>
      <c r="AP48" s="12"/>
      <c r="AQ48" s="12"/>
      <c r="AR48" s="12"/>
      <c r="AS48" s="12"/>
      <c r="AT48" s="12"/>
      <c r="AU48" s="12"/>
      <c r="AV48" s="12"/>
      <c r="AW48" s="12"/>
      <c r="AX48" s="12"/>
      <c r="AY48" s="474"/>
      <c r="AZ48" s="44"/>
      <c r="BD48" s="275" t="s">
        <v>208</v>
      </c>
      <c r="BP48" s="6" t="s">
        <v>15</v>
      </c>
      <c r="BX48"/>
      <c r="BY48"/>
      <c r="BZ48"/>
      <c r="CA48"/>
      <c r="CB48"/>
      <c r="CE48" s="37"/>
      <c r="CF48" s="37"/>
      <c r="CI48"/>
      <c r="CJ48"/>
      <c r="CK48" s="55"/>
      <c r="CM48" s="143"/>
      <c r="DM48" s="31"/>
      <c r="EJ48" s="272">
        <f t="shared" si="73"/>
        <v>40770</v>
      </c>
      <c r="EZ48" s="162">
        <f>EJ19</f>
        <v>480.76417686642515</v>
      </c>
      <c r="FA48" s="17">
        <f t="shared" si="74"/>
        <v>439.26627940968092</v>
      </c>
      <c r="FB48" s="17">
        <f t="shared" si="74"/>
        <v>401.35033663299373</v>
      </c>
      <c r="FC48" s="17">
        <f t="shared" si="75"/>
        <v>366.70716662315084</v>
      </c>
      <c r="FD48" s="17">
        <f t="shared" si="75"/>
        <v>335.05427497808813</v>
      </c>
      <c r="FE48" s="164">
        <f t="shared" si="75"/>
        <v>306.1335512334245</v>
      </c>
      <c r="FF48" s="164">
        <f t="shared" si="75"/>
        <v>279.70916412547399</v>
      </c>
      <c r="FG48" s="164">
        <f t="shared" si="75"/>
        <v>255.56563852785959</v>
      </c>
      <c r="FH48" s="164">
        <f t="shared" si="75"/>
        <v>233.50609838029348</v>
      </c>
    </row>
    <row r="49" spans="2:164" x14ac:dyDescent="0.4">
      <c r="B49" s="461">
        <v>3</v>
      </c>
      <c r="C49" s="494" t="s">
        <v>290</v>
      </c>
      <c r="D49" s="494"/>
      <c r="E49" s="494"/>
      <c r="F49" s="494"/>
      <c r="G49" s="494"/>
      <c r="H49" s="494"/>
      <c r="AG49" s="322">
        <v>0.05</v>
      </c>
      <c r="AH49" s="338">
        <v>0.05</v>
      </c>
      <c r="AI49" s="381" t="s">
        <v>335</v>
      </c>
      <c r="BP49" s="255" t="s">
        <v>16</v>
      </c>
      <c r="BQ49" t="s">
        <v>117</v>
      </c>
      <c r="BX49"/>
      <c r="BY49"/>
      <c r="BZ49"/>
      <c r="CA49"/>
      <c r="CB49" s="42"/>
      <c r="CI49"/>
      <c r="CJ49"/>
      <c r="CK49" s="55"/>
      <c r="CM49" s="14"/>
      <c r="DM49" s="31"/>
      <c r="DP49" s="95"/>
      <c r="DQ49" s="390"/>
      <c r="DR49" s="95"/>
      <c r="EJ49" s="272">
        <f t="shared" si="73"/>
        <v>40787</v>
      </c>
      <c r="FA49" s="162">
        <f>EJ20</f>
        <v>598.05664156575801</v>
      </c>
      <c r="FB49" s="17">
        <f t="shared" ref="FB49:FH50" si="76">FA49*(1-FA$32)*EXP($BW$38*15)</f>
        <v>546.43446508251293</v>
      </c>
      <c r="FC49" s="17">
        <f t="shared" si="76"/>
        <v>499.26813595494724</v>
      </c>
      <c r="FD49" s="17">
        <f t="shared" si="76"/>
        <v>456.17304088293099</v>
      </c>
      <c r="FE49" s="164">
        <f t="shared" si="76"/>
        <v>416.79776505336224</v>
      </c>
      <c r="FF49" s="164">
        <f t="shared" si="76"/>
        <v>380.82122656183037</v>
      </c>
      <c r="FG49" s="164">
        <f t="shared" si="76"/>
        <v>347.95005818106904</v>
      </c>
      <c r="FH49" s="164">
        <f t="shared" si="76"/>
        <v>317.91621512608214</v>
      </c>
    </row>
    <row r="50" spans="2:164" x14ac:dyDescent="0.4">
      <c r="B50" s="461">
        <v>4</v>
      </c>
      <c r="C50" s="578" t="s">
        <v>292</v>
      </c>
      <c r="D50" s="578"/>
      <c r="E50" s="578"/>
      <c r="F50" s="578"/>
      <c r="G50" s="578"/>
      <c r="H50" s="578"/>
      <c r="AI50" s="381"/>
      <c r="AR50" s="255"/>
      <c r="AS50" s="255"/>
      <c r="BX50"/>
      <c r="BY50"/>
      <c r="BZ50"/>
      <c r="CA50" s="18"/>
      <c r="CB50" s="18"/>
      <c r="CI50"/>
      <c r="CJ50"/>
      <c r="CK50" s="55"/>
      <c r="CM50" s="14"/>
      <c r="DM50" s="31"/>
      <c r="DP50" s="95"/>
      <c r="DQ50" s="390"/>
      <c r="DR50" s="95"/>
      <c r="EJ50" s="272">
        <f t="shared" si="73"/>
        <v>40801</v>
      </c>
      <c r="FB50" s="162">
        <f>EJ21</f>
        <v>709.08029491184868</v>
      </c>
      <c r="FC50" s="17">
        <f t="shared" si="76"/>
        <v>647.87494147091343</v>
      </c>
      <c r="FD50" s="17">
        <f t="shared" si="76"/>
        <v>591.95262200611694</v>
      </c>
      <c r="FE50" s="17">
        <f t="shared" si="76"/>
        <v>540.85732333521423</v>
      </c>
      <c r="FF50" s="164">
        <f t="shared" si="76"/>
        <v>494.17239375334606</v>
      </c>
      <c r="FG50" s="164">
        <f t="shared" si="76"/>
        <v>451.51714548673522</v>
      </c>
      <c r="FH50" s="164">
        <f t="shared" si="76"/>
        <v>412.54375041080328</v>
      </c>
    </row>
    <row r="51" spans="2:164" x14ac:dyDescent="0.4">
      <c r="B51" s="461" t="s">
        <v>320</v>
      </c>
      <c r="C51" s="561" t="s">
        <v>370</v>
      </c>
      <c r="D51" s="561"/>
      <c r="E51" s="561"/>
      <c r="F51" s="561"/>
      <c r="G51" s="561"/>
      <c r="H51" s="561"/>
      <c r="I51" s="561"/>
      <c r="J51" s="561"/>
      <c r="AI51" s="381"/>
      <c r="BC51" s="299"/>
      <c r="BD51" s="131"/>
      <c r="BE51" t="s">
        <v>337</v>
      </c>
      <c r="BP51" s="6" t="s">
        <v>18</v>
      </c>
      <c r="CI51"/>
      <c r="CJ51"/>
      <c r="CK51" s="55"/>
      <c r="CM51" s="14"/>
      <c r="DM51" s="31"/>
      <c r="DN51" s="449"/>
      <c r="DP51" s="95"/>
      <c r="DQ51" s="390"/>
      <c r="DR51" s="95"/>
      <c r="EI51" s="449"/>
      <c r="EJ51" s="272">
        <f t="shared" si="73"/>
        <v>40817</v>
      </c>
      <c r="FC51" s="162">
        <f>EJ22</f>
        <v>546.49139261167352</v>
      </c>
      <c r="FD51" s="17">
        <f>FC51*(1-FC$32)*EXP($BW$38*15)</f>
        <v>499.32014969709701</v>
      </c>
      <c r="FE51" s="17">
        <f>FD51*(1-FD$32)*EXP($BW$38*15)</f>
        <v>456.22056497913388</v>
      </c>
      <c r="FF51" s="17">
        <f>FE51*(1-FE$32)*EXP($BW$38*15)</f>
        <v>416.84118703429567</v>
      </c>
      <c r="FG51" s="164">
        <f>FF51*(1-FF$32)*EXP($BW$38*15)</f>
        <v>380.86090050786675</v>
      </c>
      <c r="FH51" s="164">
        <f>FG51*(1-FG$32)*EXP($BW$38*15)</f>
        <v>347.98630760959026</v>
      </c>
    </row>
    <row r="52" spans="2:164" x14ac:dyDescent="0.4">
      <c r="BQ52" s="8"/>
      <c r="BR52" s="8"/>
      <c r="BV52" t="s">
        <v>34</v>
      </c>
      <c r="BW52" t="s">
        <v>258</v>
      </c>
      <c r="BX52" t="s">
        <v>257</v>
      </c>
      <c r="CI52"/>
      <c r="CJ52"/>
      <c r="CK52" s="55"/>
      <c r="CM52" s="14"/>
      <c r="DM52" s="31"/>
      <c r="DP52" s="95"/>
      <c r="DQ52" s="390"/>
      <c r="DR52" s="95"/>
      <c r="EI52" s="449"/>
      <c r="EJ52" s="272">
        <f t="shared" si="73"/>
        <v>40831</v>
      </c>
      <c r="FD52" s="162">
        <f>EJ23</f>
        <v>0</v>
      </c>
      <c r="FE52" s="17">
        <f>FD52*(1-FD$32)*EXP($BW$38*15)</f>
        <v>0</v>
      </c>
      <c r="FF52" s="17">
        <f>FE52*(1-FE$32)*EXP($BW$38*15)</f>
        <v>0</v>
      </c>
      <c r="FG52" s="17">
        <f>FF52*(1-FF$32)*EXP($BW$38*15)</f>
        <v>0</v>
      </c>
      <c r="FH52" s="164">
        <f>FG52*(1-FG$32)*EXP($BW$38*15)</f>
        <v>0</v>
      </c>
    </row>
    <row r="53" spans="2:164" x14ac:dyDescent="0.4">
      <c r="AK53" s="254"/>
      <c r="AL53" s="254"/>
      <c r="AM53" s="254"/>
      <c r="BE53" s="236"/>
      <c r="BF53" s="236"/>
      <c r="BG53" s="236"/>
      <c r="BH53" s="236"/>
      <c r="BL53" s="7"/>
      <c r="BM53" s="60"/>
      <c r="BN53" s="5"/>
      <c r="BP53" t="s">
        <v>20</v>
      </c>
      <c r="BQ53" s="44">
        <f>BQ29</f>
        <v>1.3774999999999999</v>
      </c>
      <c r="BR53" t="s">
        <v>21</v>
      </c>
      <c r="BV53">
        <v>0</v>
      </c>
      <c r="BW53" s="381">
        <f>BV53+12</f>
        <v>12</v>
      </c>
      <c r="BX53" s="29">
        <f>$BQ$57/BW53</f>
        <v>2.6536295761255119E-2</v>
      </c>
      <c r="CI53"/>
      <c r="CJ53"/>
      <c r="CK53" s="55"/>
      <c r="CM53" s="14"/>
      <c r="DM53" s="31"/>
      <c r="DN53" s="449"/>
      <c r="DP53" s="95"/>
      <c r="DQ53" s="390"/>
      <c r="DR53" s="95"/>
      <c r="EI53" s="449"/>
      <c r="EJ53" s="272">
        <f t="shared" si="73"/>
        <v>40848</v>
      </c>
      <c r="FE53" s="162">
        <f>EJ24</f>
        <v>0</v>
      </c>
      <c r="FF53" s="17">
        <f>FE53*(1-FE$32)*EXP($BW$38*15)</f>
        <v>0</v>
      </c>
      <c r="FG53" s="17">
        <f>FF53*(1-FF$32)*EXP($BW$38*15)</f>
        <v>0</v>
      </c>
      <c r="FH53" s="17">
        <f>FG53*(1-FG$32)*EXP($BW$38*15)</f>
        <v>0</v>
      </c>
    </row>
    <row r="54" spans="2:164" ht="13" customHeight="1" x14ac:dyDescent="0.4">
      <c r="BP54" t="s">
        <v>23</v>
      </c>
      <c r="BQ54" s="45">
        <f>BQ30</f>
        <v>0.7</v>
      </c>
      <c r="BR54" t="s">
        <v>24</v>
      </c>
      <c r="BV54">
        <v>1</v>
      </c>
      <c r="BW54" s="381">
        <f t="shared" ref="BW54:BW68" si="77">BV54+12</f>
        <v>13</v>
      </c>
      <c r="BX54" s="29">
        <f t="shared" ref="BX54:BX68" si="78">$BQ$57/BW54</f>
        <v>2.4495042241158574E-2</v>
      </c>
      <c r="CI54"/>
      <c r="CJ54"/>
      <c r="CK54" s="55"/>
      <c r="CM54" s="14"/>
      <c r="DM54" s="31"/>
      <c r="DP54"/>
      <c r="DQ54" s="458"/>
      <c r="DR54"/>
      <c r="EJ54" s="272">
        <f t="shared" si="73"/>
        <v>40862</v>
      </c>
      <c r="FF54" s="162">
        <f>EJ25</f>
        <v>0</v>
      </c>
      <c r="FG54" s="17">
        <f>FF54*(1-FF$32)*EXP($BW$38*15)</f>
        <v>0</v>
      </c>
      <c r="FH54" s="17">
        <f>FG54*(1-FG$32)*EXP($BW$38*15)</f>
        <v>0</v>
      </c>
    </row>
    <row r="55" spans="2:164" ht="13" customHeight="1" x14ac:dyDescent="0.4">
      <c r="AG55" s="522" t="s">
        <v>146</v>
      </c>
      <c r="AH55" s="522"/>
      <c r="AI55" s="12" t="s">
        <v>157</v>
      </c>
      <c r="AN55" s="6"/>
      <c r="AP55" s="6"/>
      <c r="AZ55" s="466">
        <f>(LN(BB21/BB11))/(BA21-BA11)</f>
        <v>1.4454215811899483E-2</v>
      </c>
      <c r="BO55" s="77"/>
      <c r="BP55" t="s">
        <v>23</v>
      </c>
      <c r="BQ55" s="106">
        <v>0.7</v>
      </c>
      <c r="BR55" t="s">
        <v>22</v>
      </c>
      <c r="BV55">
        <v>2</v>
      </c>
      <c r="BW55" s="381">
        <f t="shared" si="77"/>
        <v>14</v>
      </c>
      <c r="BX55" s="29">
        <f t="shared" si="78"/>
        <v>2.2745396366790103E-2</v>
      </c>
      <c r="CI55"/>
      <c r="CJ55"/>
      <c r="CK55" s="55"/>
      <c r="CM55" s="14"/>
      <c r="DM55" s="31"/>
      <c r="EJ55" s="272">
        <f t="shared" si="73"/>
        <v>40878</v>
      </c>
      <c r="FG55" s="162">
        <f>EJ26</f>
        <v>0</v>
      </c>
      <c r="FH55" s="17">
        <f>FG55*(1-FG$32)*EXP($BW$38*15)</f>
        <v>0</v>
      </c>
    </row>
    <row r="56" spans="2:164" x14ac:dyDescent="0.4">
      <c r="AG56" s="6" t="s">
        <v>158</v>
      </c>
      <c r="AK56" s="254"/>
      <c r="BK56" s="254"/>
      <c r="BL56" s="254"/>
      <c r="BM56" s="254"/>
      <c r="BN56" s="254"/>
      <c r="BO56" s="77"/>
      <c r="BP56" t="s">
        <v>105</v>
      </c>
      <c r="BQ56" s="82">
        <f>(1+($BQ$53*$BQ$54))*$BQ$55</f>
        <v>1.3749749999999998</v>
      </c>
      <c r="BR56" s="82"/>
      <c r="BV56">
        <v>3</v>
      </c>
      <c r="BW56" s="381">
        <f t="shared" si="77"/>
        <v>15</v>
      </c>
      <c r="BX56" s="29">
        <f t="shared" si="78"/>
        <v>2.1229036609004097E-2</v>
      </c>
      <c r="CI56"/>
      <c r="CJ56"/>
      <c r="CK56" s="55"/>
      <c r="DM56" s="31"/>
      <c r="EJ56" s="272">
        <f t="shared" si="73"/>
        <v>40892</v>
      </c>
      <c r="EP56" s="26"/>
      <c r="FH56" s="162">
        <f>EJ27</f>
        <v>0</v>
      </c>
    </row>
    <row r="57" spans="2:164" ht="13" customHeight="1" x14ac:dyDescent="0.4">
      <c r="AG57" t="s">
        <v>153</v>
      </c>
      <c r="AN57" s="16"/>
      <c r="BK57" s="254"/>
      <c r="BL57" s="254"/>
      <c r="BM57" s="254"/>
      <c r="BN57" s="254"/>
      <c r="BP57" s="255" t="s">
        <v>26</v>
      </c>
      <c r="BQ57" s="7">
        <f>LN(BQ56)</f>
        <v>0.31843554913506145</v>
      </c>
      <c r="BV57">
        <v>4</v>
      </c>
      <c r="BW57" s="381">
        <f t="shared" si="77"/>
        <v>16</v>
      </c>
      <c r="BX57" s="29">
        <f t="shared" si="78"/>
        <v>1.990222182094134E-2</v>
      </c>
      <c r="CI57"/>
      <c r="CJ57"/>
      <c r="CK57" s="55"/>
      <c r="DM57" s="31"/>
      <c r="EJ57" s="165" t="s">
        <v>181</v>
      </c>
      <c r="EK57" s="165"/>
      <c r="EL57" s="165"/>
      <c r="EM57" s="165"/>
      <c r="EN57" s="165"/>
      <c r="EO57" s="165"/>
      <c r="EP57" s="166">
        <f>SUM(EP33)</f>
        <v>63.67644803087736</v>
      </c>
      <c r="EQ57" s="166">
        <f>SUM(EQ33:EQ34)</f>
        <v>65.528602282013154</v>
      </c>
      <c r="ER57" s="166">
        <f>SUM(ER33:ER35)</f>
        <v>75.136134398999957</v>
      </c>
      <c r="ES57" s="166">
        <f>SUM(ES33:ES36)</f>
        <v>86.264487086130544</v>
      </c>
      <c r="ET57" s="166">
        <f>SUM(ET33:ET37)</f>
        <v>99.555151340160364</v>
      </c>
      <c r="EU57" s="166">
        <f>SUM(EU33:EU38)</f>
        <v>130.07321392419124</v>
      </c>
      <c r="EV57" s="166">
        <f>SUM(EV33:EV39)</f>
        <v>118.84574492165999</v>
      </c>
      <c r="EW57" s="166">
        <f>SUM(EW33:EW40)</f>
        <v>108.58739212991344</v>
      </c>
      <c r="EX57" s="166">
        <f>SUM(EX33:EX41)</f>
        <v>162.59862228878237</v>
      </c>
      <c r="EY57" s="166">
        <f>SUM(EY33:EY42)</f>
        <v>218.99401632291895</v>
      </c>
      <c r="EZ57" s="166">
        <f>SUM(EZ33:EZ43)</f>
        <v>289.31698942240905</v>
      </c>
      <c r="FA57" s="166">
        <f>SUM(FA33:FA44)</f>
        <v>383.21384983725022</v>
      </c>
      <c r="FB57" s="166">
        <f>SUM(FB33:FB45)</f>
        <v>487.06183479446855</v>
      </c>
      <c r="FC57" s="166">
        <f>SUM(FC33:FC46)</f>
        <v>623.4954451648639</v>
      </c>
      <c r="FD57" s="166">
        <f>SUM(FD33:FD47)</f>
        <v>806.16419818466215</v>
      </c>
      <c r="FE57" s="166">
        <f>SUM(FE33:FE48)</f>
        <v>1042.7124499317224</v>
      </c>
      <c r="FF57" s="166">
        <f>SUM(FF33:FF49)</f>
        <v>1333.5303517737925</v>
      </c>
      <c r="FG57" s="166">
        <f>SUM(FG33:FG50)</f>
        <v>1669.9417792054571</v>
      </c>
      <c r="FH57" s="166">
        <f>SUM(FH33:FH51)</f>
        <v>1873.7845003193027</v>
      </c>
    </row>
    <row r="58" spans="2:164" x14ac:dyDescent="0.4">
      <c r="AG58" t="s">
        <v>147</v>
      </c>
      <c r="BP58" s="255" t="s">
        <v>27</v>
      </c>
      <c r="BQ58" s="6">
        <f>BQ57/12</f>
        <v>2.6536295761255119E-2</v>
      </c>
      <c r="BV58">
        <v>5</v>
      </c>
      <c r="BW58" s="381">
        <f t="shared" si="77"/>
        <v>17</v>
      </c>
      <c r="BX58" s="79">
        <f t="shared" si="78"/>
        <v>1.8731502890297732E-2</v>
      </c>
      <c r="BY58" s="545" t="s">
        <v>259</v>
      </c>
      <c r="CI58"/>
      <c r="CJ58"/>
      <c r="CK58" s="55"/>
      <c r="EJ58" t="s">
        <v>182</v>
      </c>
      <c r="EK58" s="17">
        <f t="shared" ref="EK58:FH58" si="79">SUM(EK33:EK56)</f>
        <v>100</v>
      </c>
      <c r="EL58" s="17">
        <f t="shared" si="79"/>
        <v>102.90869592826166</v>
      </c>
      <c r="EM58" s="17">
        <f t="shared" si="79"/>
        <v>117.99674247308153</v>
      </c>
      <c r="EN58" s="17">
        <f t="shared" si="79"/>
        <v>135.4731454937625</v>
      </c>
      <c r="EO58" s="17">
        <f t="shared" si="79"/>
        <v>156.34532769774637</v>
      </c>
      <c r="EP58" s="17">
        <f t="shared" si="79"/>
        <v>204.27209423037766</v>
      </c>
      <c r="EQ58" s="17">
        <f t="shared" si="79"/>
        <v>186.64003504722891</v>
      </c>
      <c r="ER58" s="17">
        <f t="shared" si="79"/>
        <v>170.52991410145603</v>
      </c>
      <c r="ES58" s="17">
        <f t="shared" si="79"/>
        <v>255.35127557670404</v>
      </c>
      <c r="ET58" s="17">
        <f t="shared" si="79"/>
        <v>343.91682183140381</v>
      </c>
      <c r="EU58" s="17">
        <f t="shared" si="79"/>
        <v>454.35478637582975</v>
      </c>
      <c r="EV58" s="17">
        <f t="shared" si="79"/>
        <v>601.81411132013204</v>
      </c>
      <c r="EW58" s="17">
        <f t="shared" si="79"/>
        <v>764.90107387630565</v>
      </c>
      <c r="EX58" s="17">
        <f t="shared" si="79"/>
        <v>979.16178500177114</v>
      </c>
      <c r="EY58" s="17">
        <f t="shared" si="79"/>
        <v>1266.0319837465572</v>
      </c>
      <c r="EZ58" s="17">
        <f t="shared" si="79"/>
        <v>1637.5166677420521</v>
      </c>
      <c r="FA58" s="17">
        <f t="shared" si="79"/>
        <v>2094.2285460507314</v>
      </c>
      <c r="FB58" s="17">
        <f t="shared" si="79"/>
        <v>2622.5422912969098</v>
      </c>
      <c r="FC58" s="17">
        <f t="shared" si="79"/>
        <v>2942.6649228466467</v>
      </c>
      <c r="FD58" s="17">
        <f t="shared" si="79"/>
        <v>2688.6642857488951</v>
      </c>
      <c r="FE58" s="17">
        <f t="shared" si="79"/>
        <v>2456.5881032994325</v>
      </c>
      <c r="FF58" s="17">
        <f t="shared" si="79"/>
        <v>2244.5439325614343</v>
      </c>
      <c r="FG58" s="17">
        <f t="shared" si="79"/>
        <v>2050.8026797133239</v>
      </c>
      <c r="FH58" s="17">
        <f t="shared" si="79"/>
        <v>1873.7845003193027</v>
      </c>
    </row>
    <row r="59" spans="2:164" x14ac:dyDescent="0.4">
      <c r="AN59" s="86"/>
      <c r="AO59" s="86"/>
      <c r="AP59" s="86"/>
      <c r="BP59" s="255" t="s">
        <v>106</v>
      </c>
      <c r="BQ59">
        <f>BQ57/17</f>
        <v>1.8731502890297732E-2</v>
      </c>
      <c r="BR59" s="12"/>
      <c r="BV59">
        <v>6</v>
      </c>
      <c r="BW59" s="381">
        <f t="shared" si="77"/>
        <v>18</v>
      </c>
      <c r="BX59" s="79">
        <f t="shared" si="78"/>
        <v>1.7690863840836749E-2</v>
      </c>
      <c r="BY59" s="545"/>
      <c r="CI59"/>
      <c r="CJ59"/>
      <c r="CK59" s="55"/>
      <c r="EJ59" t="s">
        <v>183</v>
      </c>
      <c r="EK59" s="37">
        <f t="shared" ref="EK59:FH59" si="80">IF(EK58=0,0,IF(EK57/EK58=1,0.99,EK57/EK58))</f>
        <v>0</v>
      </c>
      <c r="EL59" s="37">
        <f t="shared" si="80"/>
        <v>0</v>
      </c>
      <c r="EM59" s="37">
        <f t="shared" si="80"/>
        <v>0</v>
      </c>
      <c r="EN59" s="37">
        <f t="shared" si="80"/>
        <v>0</v>
      </c>
      <c r="EO59" s="37">
        <f t="shared" si="80"/>
        <v>0</v>
      </c>
      <c r="EP59" s="37">
        <f t="shared" si="80"/>
        <v>0.31172367557490838</v>
      </c>
      <c r="EQ59" s="37">
        <f t="shared" si="80"/>
        <v>0.35109617433061063</v>
      </c>
      <c r="ER59" s="37">
        <f t="shared" si="80"/>
        <v>0.44060383654622637</v>
      </c>
      <c r="ES59" s="37">
        <f t="shared" si="80"/>
        <v>0.33782673257184442</v>
      </c>
      <c r="ET59" s="37">
        <f t="shared" si="80"/>
        <v>0.2894745037768599</v>
      </c>
      <c r="EU59" s="37">
        <f t="shared" si="80"/>
        <v>0.28628115698246054</v>
      </c>
      <c r="EV59" s="37">
        <f t="shared" si="80"/>
        <v>0.19747915957131915</v>
      </c>
      <c r="EW59" s="37">
        <f t="shared" si="80"/>
        <v>0.14196266136694355</v>
      </c>
      <c r="EX59" s="37">
        <f t="shared" si="80"/>
        <v>0.16605899533598348</v>
      </c>
      <c r="EY59" s="37">
        <f t="shared" si="80"/>
        <v>0.17297668552958032</v>
      </c>
      <c r="EZ59" s="37">
        <f t="shared" si="80"/>
        <v>0.17668033255584753</v>
      </c>
      <c r="FA59" s="37">
        <f t="shared" si="80"/>
        <v>0.18298568728800391</v>
      </c>
      <c r="FB59" s="37">
        <f t="shared" si="80"/>
        <v>0.1857212508682195</v>
      </c>
      <c r="FC59" s="37">
        <f t="shared" si="80"/>
        <v>0.21188122382677294</v>
      </c>
      <c r="FD59" s="37">
        <f t="shared" si="80"/>
        <v>0.29983817706721044</v>
      </c>
      <c r="FE59" s="37">
        <f t="shared" si="80"/>
        <v>0.42445554813656389</v>
      </c>
      <c r="FF59" s="37">
        <f t="shared" si="80"/>
        <v>0.59412085120204838</v>
      </c>
      <c r="FG59" s="37">
        <f t="shared" si="80"/>
        <v>0.81428691103470463</v>
      </c>
      <c r="FH59" s="37">
        <f t="shared" si="80"/>
        <v>0.99</v>
      </c>
    </row>
    <row r="60" spans="2:164" ht="13" customHeight="1" x14ac:dyDescent="0.3">
      <c r="AG60" s="444" t="s">
        <v>88</v>
      </c>
      <c r="AH60" s="256" t="s">
        <v>148</v>
      </c>
      <c r="AW60" s="53" t="s">
        <v>33</v>
      </c>
      <c r="AX60" s="53"/>
      <c r="AY60" s="475"/>
      <c r="BB60" s="255"/>
      <c r="BV60">
        <v>7</v>
      </c>
      <c r="BW60" s="381">
        <f t="shared" si="77"/>
        <v>19</v>
      </c>
      <c r="BX60" s="79">
        <f t="shared" si="78"/>
        <v>1.6759765743950602E-2</v>
      </c>
      <c r="BY60" s="545"/>
      <c r="EJ60" s="20"/>
    </row>
    <row r="61" spans="2:164" x14ac:dyDescent="0.4">
      <c r="AG61" s="29">
        <v>2.4E-2</v>
      </c>
      <c r="AH61" s="18">
        <f>(LN(2))/AG61</f>
        <v>28.881132523331054</v>
      </c>
      <c r="AN61" s="254"/>
      <c r="AX61" s="255" t="s">
        <v>35</v>
      </c>
      <c r="AZ61" s="463" t="s">
        <v>262</v>
      </c>
      <c r="BA61" s="67" t="s">
        <v>17</v>
      </c>
      <c r="BB61" s="255"/>
      <c r="BP61" s="6" t="s">
        <v>19</v>
      </c>
      <c r="BS61" s="443"/>
      <c r="BV61">
        <v>8</v>
      </c>
      <c r="BW61" s="381">
        <f t="shared" si="77"/>
        <v>20</v>
      </c>
      <c r="BX61" s="79">
        <f t="shared" si="78"/>
        <v>1.5921777456753071E-2</v>
      </c>
      <c r="BY61" s="545"/>
    </row>
    <row r="62" spans="2:164" x14ac:dyDescent="0.4">
      <c r="AG62" s="29">
        <f t="shared" ref="AG62:AG83" si="81">AG61-0.001</f>
        <v>2.3E-2</v>
      </c>
      <c r="AH62" s="18">
        <f t="shared" ref="AH62:AH83" si="82">(LN(2))/AG62</f>
        <v>30.136833937388925</v>
      </c>
      <c r="BO62" s="546" t="s">
        <v>112</v>
      </c>
      <c r="BP62" s="82" t="s">
        <v>20</v>
      </c>
      <c r="BQ62" s="44">
        <f>BQ31</f>
        <v>3.5</v>
      </c>
      <c r="BR62" s="12" t="s">
        <v>21</v>
      </c>
      <c r="BS62" s="443"/>
      <c r="BV62">
        <v>9</v>
      </c>
      <c r="BW62" s="381">
        <f t="shared" si="77"/>
        <v>21</v>
      </c>
      <c r="BX62" s="79">
        <f t="shared" si="78"/>
        <v>1.516359757786007E-2</v>
      </c>
      <c r="BY62" s="545"/>
    </row>
    <row r="63" spans="2:164" x14ac:dyDescent="0.4">
      <c r="AG63" s="29">
        <f t="shared" si="81"/>
        <v>2.1999999999999999E-2</v>
      </c>
      <c r="AH63" s="18">
        <f t="shared" si="82"/>
        <v>31.506690025452059</v>
      </c>
      <c r="AX63" s="255"/>
      <c r="BA63" s="36"/>
      <c r="BO63" s="546"/>
      <c r="BP63" s="82" t="s">
        <v>23</v>
      </c>
      <c r="BQ63" s="46">
        <f>BQ32</f>
        <v>0.7</v>
      </c>
      <c r="BR63" t="s">
        <v>25</v>
      </c>
      <c r="BS63" s="48"/>
      <c r="BV63">
        <v>10</v>
      </c>
      <c r="BW63" s="381">
        <f t="shared" si="77"/>
        <v>22</v>
      </c>
      <c r="BX63" s="79">
        <f t="shared" si="78"/>
        <v>1.4474343142502793E-2</v>
      </c>
      <c r="BY63" s="545"/>
    </row>
    <row r="64" spans="2:164" x14ac:dyDescent="0.3">
      <c r="AG64" s="29">
        <f t="shared" si="81"/>
        <v>2.0999999999999998E-2</v>
      </c>
      <c r="AH64" s="18">
        <f t="shared" si="82"/>
        <v>33.007008598092639</v>
      </c>
      <c r="AU64" s="68"/>
      <c r="AV64" s="68"/>
      <c r="AX64" s="101" t="s">
        <v>261</v>
      </c>
      <c r="AY64" s="476"/>
      <c r="AZ64" s="463">
        <v>1993</v>
      </c>
      <c r="BA64" s="34">
        <v>3.0571428571428572E-2</v>
      </c>
      <c r="BO64" s="546"/>
      <c r="BP64" s="82" t="s">
        <v>107</v>
      </c>
      <c r="BQ64" s="44">
        <v>0.7</v>
      </c>
      <c r="BR64" t="s">
        <v>22</v>
      </c>
      <c r="BV64">
        <v>11</v>
      </c>
      <c r="BW64" s="381">
        <f t="shared" si="77"/>
        <v>23</v>
      </c>
      <c r="BX64" s="79">
        <f t="shared" si="78"/>
        <v>1.3845023875437455E-2</v>
      </c>
      <c r="BY64" s="545"/>
    </row>
    <row r="65" spans="33:149" x14ac:dyDescent="0.3">
      <c r="AG65" s="29">
        <f t="shared" si="81"/>
        <v>1.9999999999999997E-2</v>
      </c>
      <c r="AH65" s="18">
        <f t="shared" si="82"/>
        <v>34.657359027997266</v>
      </c>
      <c r="AU65" s="462"/>
      <c r="AV65" s="462"/>
      <c r="AX65" s="101" t="s">
        <v>254</v>
      </c>
      <c r="AY65" s="476"/>
      <c r="AZ65" s="463">
        <v>2007</v>
      </c>
      <c r="BA65" s="34">
        <v>2.7285714285714285E-2</v>
      </c>
      <c r="BP65" t="s">
        <v>105</v>
      </c>
      <c r="BQ65">
        <f>(1+(BQ62*BQ63))*BQ64</f>
        <v>2.4149999999999996</v>
      </c>
      <c r="BV65">
        <v>12</v>
      </c>
      <c r="BW65" s="381">
        <f t="shared" si="77"/>
        <v>24</v>
      </c>
      <c r="BX65" s="79">
        <f t="shared" si="78"/>
        <v>1.326814788062756E-2</v>
      </c>
      <c r="BY65" s="545"/>
    </row>
    <row r="66" spans="33:149" x14ac:dyDescent="0.4">
      <c r="AG66" s="29">
        <f t="shared" si="81"/>
        <v>1.8999999999999996E-2</v>
      </c>
      <c r="AH66" s="18">
        <f t="shared" si="82"/>
        <v>36.481430555786602</v>
      </c>
      <c r="AR66" s="285"/>
      <c r="AS66" s="285"/>
      <c r="AT66" s="285"/>
      <c r="AU66" s="286"/>
      <c r="AV66" s="286"/>
      <c r="AW66" s="285"/>
      <c r="AX66" s="287" t="s">
        <v>37</v>
      </c>
      <c r="AY66" s="477"/>
      <c r="BA66" s="36">
        <v>2.3E-2</v>
      </c>
      <c r="BP66" s="255" t="s">
        <v>26</v>
      </c>
      <c r="BQ66">
        <f>LN(BQ65)</f>
        <v>0.88169928710453582</v>
      </c>
      <c r="BV66">
        <v>13</v>
      </c>
      <c r="BW66" s="381">
        <f t="shared" si="77"/>
        <v>25</v>
      </c>
      <c r="BX66" s="79">
        <f t="shared" si="78"/>
        <v>1.2737421965402458E-2</v>
      </c>
      <c r="BY66" s="545"/>
    </row>
    <row r="67" spans="33:149" x14ac:dyDescent="0.3">
      <c r="AG67" s="29">
        <f t="shared" si="81"/>
        <v>1.7999999999999995E-2</v>
      </c>
      <c r="AH67" s="18">
        <f t="shared" si="82"/>
        <v>38.508176697774751</v>
      </c>
      <c r="AU67" s="462"/>
      <c r="AV67" s="462"/>
      <c r="AX67" s="101" t="s">
        <v>275</v>
      </c>
      <c r="AY67" s="476"/>
      <c r="AZ67" s="463">
        <v>1999</v>
      </c>
      <c r="BA67" s="34">
        <v>2.2936022002005126E-2</v>
      </c>
      <c r="BP67" s="255" t="s">
        <v>27</v>
      </c>
      <c r="BQ67" s="6">
        <f>BQ66/15</f>
        <v>5.8779952473635724E-2</v>
      </c>
      <c r="BV67">
        <v>14</v>
      </c>
      <c r="BW67" s="381">
        <f t="shared" si="77"/>
        <v>26</v>
      </c>
      <c r="BX67" s="79">
        <f t="shared" si="78"/>
        <v>1.2247521120579287E-2</v>
      </c>
      <c r="BY67" s="545"/>
      <c r="CE67" s="32"/>
      <c r="CF67" s="32"/>
    </row>
    <row r="68" spans="33:149" ht="12.75" customHeight="1" x14ac:dyDescent="0.3">
      <c r="AG68" s="29">
        <f t="shared" si="81"/>
        <v>1.6999999999999994E-2</v>
      </c>
      <c r="AH68" s="18">
        <f t="shared" si="82"/>
        <v>40.773363562349736</v>
      </c>
      <c r="AV68" s="60"/>
      <c r="AW68" s="60"/>
      <c r="AX68" s="101" t="s">
        <v>273</v>
      </c>
      <c r="AY68" s="476"/>
      <c r="AZ68" s="463">
        <v>2002</v>
      </c>
      <c r="BA68" s="34">
        <v>2.2714285714285715E-2</v>
      </c>
      <c r="BP68" s="255"/>
      <c r="BV68">
        <v>15</v>
      </c>
      <c r="BW68" s="381">
        <f t="shared" si="77"/>
        <v>27</v>
      </c>
      <c r="BX68" s="79">
        <f t="shared" si="78"/>
        <v>1.1793909227224498E-2</v>
      </c>
      <c r="BY68" s="545"/>
      <c r="BZ68"/>
      <c r="CA68"/>
      <c r="CB68"/>
      <c r="CE68" s="32"/>
      <c r="CF68" s="32"/>
    </row>
    <row r="69" spans="33:149" ht="12.75" customHeight="1" x14ac:dyDescent="0.3">
      <c r="AG69" s="29">
        <f t="shared" si="81"/>
        <v>1.5999999999999993E-2</v>
      </c>
      <c r="AH69" s="18">
        <f t="shared" si="82"/>
        <v>43.321698784996599</v>
      </c>
      <c r="AU69" s="60"/>
      <c r="AV69" s="60"/>
      <c r="AW69" s="60"/>
      <c r="AX69" s="101" t="s">
        <v>263</v>
      </c>
      <c r="AY69" s="476"/>
      <c r="AZ69" s="463">
        <v>1994</v>
      </c>
      <c r="BA69" s="288">
        <v>2.1428571428571429E-2</v>
      </c>
      <c r="BB69" s="547" t="s">
        <v>280</v>
      </c>
      <c r="CE69" s="32"/>
      <c r="CF69" s="32"/>
    </row>
    <row r="70" spans="33:149" ht="12.75" customHeight="1" x14ac:dyDescent="0.3">
      <c r="AG70" s="29">
        <f t="shared" si="81"/>
        <v>1.4999999999999993E-2</v>
      </c>
      <c r="AH70" s="18">
        <f t="shared" si="82"/>
        <v>46.209812037329712</v>
      </c>
      <c r="AU70" s="60"/>
      <c r="AV70" s="60"/>
      <c r="AW70" s="60"/>
      <c r="AX70" s="101" t="s">
        <v>267</v>
      </c>
      <c r="AY70" s="476"/>
      <c r="AZ70" s="300">
        <v>1997</v>
      </c>
      <c r="BA70" s="289">
        <v>2.1428571428571429E-2</v>
      </c>
      <c r="BB70" s="547"/>
      <c r="BP70" s="49" t="s">
        <v>236</v>
      </c>
      <c r="BQ70" s="49"/>
      <c r="BR70" s="49"/>
      <c r="BS70" s="49"/>
      <c r="BT70" s="49"/>
      <c r="BU70" s="12"/>
      <c r="BV70" s="12"/>
      <c r="CE70" s="32"/>
      <c r="CF70" s="32"/>
    </row>
    <row r="71" spans="33:149" ht="12.75" customHeight="1" x14ac:dyDescent="0.4">
      <c r="AG71" s="29">
        <f t="shared" si="81"/>
        <v>1.3999999999999992E-2</v>
      </c>
      <c r="AH71" s="18">
        <f t="shared" si="82"/>
        <v>49.51051289713898</v>
      </c>
      <c r="AV71" s="159"/>
      <c r="AW71" s="159"/>
      <c r="AX71" s="255" t="s">
        <v>36</v>
      </c>
      <c r="AZ71" s="463">
        <v>1999</v>
      </c>
      <c r="BA71" s="290">
        <v>2.1000000000000001E-2</v>
      </c>
      <c r="BB71" s="547"/>
      <c r="BP71" s="65">
        <v>5.0000000000000001E-3</v>
      </c>
      <c r="BQ71" t="s">
        <v>28</v>
      </c>
      <c r="BR71" s="50">
        <f>1-BP71</f>
        <v>0.995</v>
      </c>
      <c r="BS71" t="s">
        <v>29</v>
      </c>
      <c r="BU71" t="s">
        <v>30</v>
      </c>
      <c r="CE71" s="32"/>
      <c r="CF71" s="32"/>
      <c r="ES71" s="18"/>
    </row>
    <row r="72" spans="33:149" x14ac:dyDescent="0.3">
      <c r="AG72" s="29">
        <f t="shared" si="81"/>
        <v>1.2999999999999991E-2</v>
      </c>
      <c r="AH72" s="18">
        <f t="shared" si="82"/>
        <v>53.319013889226596</v>
      </c>
      <c r="AU72" s="159"/>
      <c r="AV72" s="159"/>
      <c r="AW72" s="159"/>
      <c r="AX72" s="101" t="s">
        <v>254</v>
      </c>
      <c r="AY72" s="476"/>
      <c r="AZ72" s="463">
        <v>2007</v>
      </c>
      <c r="BA72" s="288">
        <v>2.0714285714285713E-2</v>
      </c>
      <c r="BB72" s="547"/>
      <c r="BP72" s="12">
        <f>LN(BR71)</f>
        <v>-5.0125418235442863E-3</v>
      </c>
      <c r="BQ72" t="s">
        <v>31</v>
      </c>
      <c r="CE72" s="32"/>
      <c r="CF72" s="32"/>
    </row>
    <row r="73" spans="33:149" x14ac:dyDescent="0.3">
      <c r="AG73" s="29">
        <f t="shared" si="81"/>
        <v>1.199999999999999E-2</v>
      </c>
      <c r="AH73" s="18">
        <f t="shared" si="82"/>
        <v>57.762265046662158</v>
      </c>
      <c r="AU73" s="159"/>
      <c r="AV73" s="159"/>
      <c r="AW73" s="159"/>
      <c r="AX73" s="101" t="s">
        <v>266</v>
      </c>
      <c r="AY73" s="476"/>
      <c r="AZ73" s="463">
        <v>1996</v>
      </c>
      <c r="BA73" s="288">
        <v>1.9857142857142858E-2</v>
      </c>
      <c r="BB73" s="547"/>
      <c r="BP73" s="51">
        <f>100*EXP(BP72*100)</f>
        <v>60.577043649072792</v>
      </c>
      <c r="BQ73" s="52" t="s">
        <v>32</v>
      </c>
      <c r="BR73" s="52"/>
      <c r="BS73" s="52"/>
      <c r="CB73"/>
      <c r="CC73"/>
      <c r="CD73"/>
      <c r="CE73"/>
      <c r="CF73"/>
      <c r="CG73"/>
    </row>
    <row r="74" spans="33:149" ht="12.75" customHeight="1" x14ac:dyDescent="0.3">
      <c r="AG74" s="29">
        <f t="shared" si="81"/>
        <v>1.0999999999999989E-2</v>
      </c>
      <c r="AH74" s="18">
        <f t="shared" si="82"/>
        <v>63.013380050904182</v>
      </c>
      <c r="AS74" s="22"/>
      <c r="AT74" s="22"/>
      <c r="AX74" s="101" t="s">
        <v>255</v>
      </c>
      <c r="AY74" s="476"/>
      <c r="AZ74" s="463">
        <v>2007</v>
      </c>
      <c r="BA74" s="288">
        <v>1.9571428571428573E-2</v>
      </c>
      <c r="BB74" s="547"/>
      <c r="BX74" s="548" t="s">
        <v>256</v>
      </c>
      <c r="BY74" s="548"/>
      <c r="BZ74" s="548"/>
      <c r="CA74" s="548"/>
      <c r="CB74" s="548"/>
      <c r="CC74" s="548"/>
      <c r="CD74"/>
      <c r="CE74"/>
      <c r="CF74"/>
      <c r="CG74"/>
    </row>
    <row r="75" spans="33:149" x14ac:dyDescent="0.4">
      <c r="AG75" s="29">
        <f t="shared" si="81"/>
        <v>9.9999999999999881E-3</v>
      </c>
      <c r="AH75" s="18">
        <f t="shared" si="82"/>
        <v>69.314718055994618</v>
      </c>
      <c r="AX75" s="255" t="s">
        <v>279</v>
      </c>
      <c r="AZ75" s="463">
        <v>2016</v>
      </c>
      <c r="BA75" s="290">
        <v>1.9E-2</v>
      </c>
      <c r="BB75" s="547"/>
      <c r="BP75" s="49" t="s">
        <v>237</v>
      </c>
      <c r="BX75" s="548"/>
      <c r="BY75" s="548"/>
      <c r="BZ75" s="548"/>
      <c r="CA75" s="548"/>
      <c r="CB75" s="548"/>
      <c r="CC75" s="548"/>
    </row>
    <row r="76" spans="33:149" x14ac:dyDescent="0.3">
      <c r="AG76" s="29">
        <f t="shared" si="81"/>
        <v>8.9999999999999872E-3</v>
      </c>
      <c r="AH76" s="18">
        <f t="shared" si="82"/>
        <v>77.016353395549586</v>
      </c>
      <c r="AX76" s="101" t="s">
        <v>264</v>
      </c>
      <c r="AY76" s="476"/>
      <c r="AZ76" s="463">
        <v>1995</v>
      </c>
      <c r="BA76" s="288">
        <v>1.8714285714285715E-2</v>
      </c>
      <c r="BB76" s="547"/>
      <c r="BP76" s="65">
        <v>0.01</v>
      </c>
      <c r="BQ76" t="s">
        <v>28</v>
      </c>
      <c r="BR76" s="50">
        <f>1-BP76</f>
        <v>0.99</v>
      </c>
      <c r="BS76" t="s">
        <v>29</v>
      </c>
      <c r="BX76" s="548"/>
      <c r="BY76" s="548"/>
      <c r="BZ76" s="548"/>
      <c r="CA76" s="548"/>
      <c r="CB76" s="548"/>
      <c r="CC76" s="548"/>
    </row>
    <row r="77" spans="33:149" x14ac:dyDescent="0.3">
      <c r="AG77" s="29">
        <f t="shared" si="81"/>
        <v>7.9999999999999863E-3</v>
      </c>
      <c r="AH77" s="18">
        <f t="shared" si="82"/>
        <v>86.643397569993311</v>
      </c>
      <c r="AX77" s="101" t="s">
        <v>254</v>
      </c>
      <c r="AY77" s="476"/>
      <c r="AZ77" s="463">
        <v>2007</v>
      </c>
      <c r="BA77" s="288">
        <v>1.7428571428571429E-2</v>
      </c>
      <c r="BB77" s="547"/>
      <c r="BP77" s="12">
        <f>LN(BR76)</f>
        <v>-1.0050335853501451E-2</v>
      </c>
      <c r="BQ77" t="s">
        <v>31</v>
      </c>
      <c r="BX77" s="548"/>
      <c r="BY77" s="548"/>
      <c r="BZ77" s="548"/>
      <c r="CA77" s="548"/>
      <c r="CB77" s="548"/>
      <c r="CC77" s="548"/>
    </row>
    <row r="78" spans="33:149" ht="12.75" customHeight="1" x14ac:dyDescent="0.4">
      <c r="AG78" s="29">
        <f t="shared" si="81"/>
        <v>6.9999999999999863E-3</v>
      </c>
      <c r="AH78" s="18">
        <f t="shared" si="82"/>
        <v>99.021025794278088</v>
      </c>
      <c r="AX78" s="255" t="s">
        <v>131</v>
      </c>
      <c r="AZ78" s="463">
        <v>2000</v>
      </c>
      <c r="BA78" s="290">
        <v>1.7000000000000001E-2</v>
      </c>
      <c r="BB78" s="547"/>
      <c r="BP78" s="276">
        <v>3</v>
      </c>
      <c r="BQ78" s="277">
        <v>19</v>
      </c>
      <c r="BR78" t="s">
        <v>238</v>
      </c>
      <c r="BU78">
        <f>BP78*BQ78</f>
        <v>57</v>
      </c>
      <c r="BV78" t="s">
        <v>239</v>
      </c>
      <c r="BX78" s="548"/>
      <c r="BY78" s="548"/>
      <c r="BZ78" s="548"/>
      <c r="CA78" s="548"/>
      <c r="CB78" s="548"/>
      <c r="CC78" s="548"/>
      <c r="CD78" s="33"/>
      <c r="CE78" s="33"/>
      <c r="CF78" s="33"/>
      <c r="CG78" s="33"/>
      <c r="CH78" s="33"/>
      <c r="CI78" s="33"/>
      <c r="CJ78" s="33"/>
      <c r="CK78" s="33"/>
      <c r="CL78" s="33"/>
      <c r="CM78" s="88"/>
    </row>
    <row r="79" spans="33:149" x14ac:dyDescent="0.3">
      <c r="AG79" s="29">
        <f t="shared" si="81"/>
        <v>5.9999999999999862E-3</v>
      </c>
      <c r="AH79" s="18">
        <f t="shared" si="82"/>
        <v>115.52453009332447</v>
      </c>
      <c r="AX79" s="101" t="s">
        <v>274</v>
      </c>
      <c r="AY79" s="476"/>
      <c r="AZ79" s="463">
        <v>2002</v>
      </c>
      <c r="BA79" s="34">
        <v>1.3571428571428571E-2</v>
      </c>
      <c r="BP79" s="51">
        <f>100*EXP(BP77*BU78)</f>
        <v>56.390519045238761</v>
      </c>
      <c r="BQ79" s="52" t="s">
        <v>240</v>
      </c>
      <c r="BR79" s="52">
        <f>BU78</f>
        <v>57</v>
      </c>
      <c r="BS79" s="52" t="s">
        <v>241</v>
      </c>
      <c r="DP79" s="35"/>
      <c r="DQ79" s="391"/>
      <c r="DR79" s="35"/>
      <c r="DS79" s="34"/>
      <c r="DT79" s="34"/>
      <c r="DV79" s="36"/>
      <c r="DW79" s="34"/>
      <c r="EI79" s="21"/>
      <c r="EJ79" s="18"/>
    </row>
    <row r="80" spans="33:149" s="20" customFormat="1" ht="12.75" customHeight="1" x14ac:dyDescent="0.3">
      <c r="AG80" s="29">
        <f t="shared" si="81"/>
        <v>4.9999999999999862E-3</v>
      </c>
      <c r="AH80" s="18">
        <f t="shared" si="82"/>
        <v>138.62943611198943</v>
      </c>
      <c r="AR80"/>
      <c r="AX80" s="101" t="s">
        <v>265</v>
      </c>
      <c r="AY80" s="476"/>
      <c r="AZ80" s="463">
        <v>1995</v>
      </c>
      <c r="BA80" s="34">
        <v>1.1428571428571429E-2</v>
      </c>
      <c r="BC80" s="300"/>
      <c r="BF80"/>
      <c r="BL80"/>
      <c r="BM80"/>
      <c r="BP80"/>
      <c r="BQ80"/>
      <c r="BR80"/>
      <c r="BS80"/>
      <c r="BT80"/>
      <c r="BX80" s="54" t="s">
        <v>242</v>
      </c>
      <c r="CE80" s="10"/>
      <c r="CF80" s="10"/>
      <c r="CG80" s="10"/>
      <c r="CN80"/>
      <c r="CO80"/>
      <c r="CP80"/>
      <c r="CQ80"/>
      <c r="CR80"/>
      <c r="CS80"/>
      <c r="CT80"/>
      <c r="CU80"/>
      <c r="CV80"/>
      <c r="CW80"/>
      <c r="CX80"/>
      <c r="CY80"/>
      <c r="CZ80"/>
      <c r="DA80"/>
      <c r="DB80"/>
      <c r="DC80"/>
      <c r="DD80"/>
      <c r="DE80"/>
      <c r="DF80"/>
      <c r="DG80"/>
      <c r="DH80"/>
      <c r="DI80"/>
      <c r="DJ80"/>
      <c r="DK80"/>
      <c r="DL80"/>
      <c r="DM80"/>
      <c r="DN80"/>
      <c r="DO80"/>
      <c r="DP80"/>
      <c r="DQ80" s="458"/>
      <c r="DR80"/>
      <c r="DS80"/>
      <c r="DT80"/>
      <c r="DU80"/>
      <c r="DV80" s="39"/>
      <c r="DX80"/>
      <c r="DY80"/>
      <c r="DZ80"/>
      <c r="EA80"/>
      <c r="EB80"/>
      <c r="EC80"/>
      <c r="ED80"/>
      <c r="EE80"/>
      <c r="EF80"/>
      <c r="EG80"/>
      <c r="EH80"/>
      <c r="EI80" s="40"/>
      <c r="EJ80" s="38"/>
    </row>
    <row r="81" spans="33:140" x14ac:dyDescent="0.3">
      <c r="AG81" s="29">
        <f t="shared" si="81"/>
        <v>3.9999999999999862E-3</v>
      </c>
      <c r="AH81" s="18">
        <f t="shared" si="82"/>
        <v>173.28679513998691</v>
      </c>
      <c r="AX81" s="101" t="s">
        <v>276</v>
      </c>
      <c r="AY81" s="476"/>
      <c r="AZ81" s="463">
        <v>1999</v>
      </c>
      <c r="BA81" s="34">
        <v>1.035681555964402E-2</v>
      </c>
      <c r="BX81" s="443" t="s">
        <v>243</v>
      </c>
      <c r="CH81"/>
      <c r="DP81"/>
      <c r="DQ81" s="458"/>
      <c r="DR81"/>
      <c r="EI81" s="41"/>
      <c r="EJ81" s="18"/>
    </row>
    <row r="82" spans="33:140" ht="12.75" customHeight="1" x14ac:dyDescent="0.4">
      <c r="AG82" s="29">
        <f t="shared" si="81"/>
        <v>2.9999999999999862E-3</v>
      </c>
      <c r="AH82" s="18">
        <f t="shared" si="82"/>
        <v>231.04906018664948</v>
      </c>
      <c r="AX82" s="255" t="s">
        <v>260</v>
      </c>
      <c r="AZ82" s="463">
        <v>2000</v>
      </c>
      <c r="BA82" s="34">
        <v>0.01</v>
      </c>
      <c r="BR82" s="18"/>
      <c r="CH82"/>
      <c r="DP82"/>
      <c r="DQ82" s="458"/>
      <c r="DR82"/>
    </row>
    <row r="83" spans="33:140" x14ac:dyDescent="0.3">
      <c r="AG83" s="29">
        <f t="shared" si="81"/>
        <v>1.9999999999999862E-3</v>
      </c>
      <c r="AH83" s="18">
        <f t="shared" si="82"/>
        <v>346.57359027997506</v>
      </c>
      <c r="AX83" s="101" t="s">
        <v>255</v>
      </c>
      <c r="AY83" s="476"/>
      <c r="AZ83" s="463">
        <v>2007</v>
      </c>
      <c r="BA83" s="34">
        <v>8.7142857142857143E-3</v>
      </c>
      <c r="BH83" s="6"/>
      <c r="CE83" s="43"/>
      <c r="CF83" s="43"/>
      <c r="CG83" s="381"/>
      <c r="CH83" s="381"/>
      <c r="DP83"/>
      <c r="DQ83" s="458"/>
      <c r="DR83"/>
      <c r="EI83" s="21"/>
      <c r="EJ83" s="18"/>
    </row>
    <row r="84" spans="33:140" x14ac:dyDescent="0.3">
      <c r="AX84" s="101" t="s">
        <v>272</v>
      </c>
      <c r="AY84" s="476"/>
      <c r="AZ84" s="463">
        <v>2001</v>
      </c>
      <c r="BA84" s="34">
        <v>6.7142857142857143E-3</v>
      </c>
      <c r="BS84" s="21"/>
      <c r="BT84" s="21"/>
      <c r="CH84"/>
      <c r="DP84"/>
      <c r="DQ84" s="458"/>
      <c r="DR84"/>
      <c r="EI84" s="21"/>
      <c r="EJ84" s="18"/>
    </row>
    <row r="85" spans="33:140" x14ac:dyDescent="0.3">
      <c r="AX85" s="101" t="s">
        <v>268</v>
      </c>
      <c r="AY85" s="476"/>
      <c r="AZ85" s="463">
        <v>1999</v>
      </c>
      <c r="BA85" s="34">
        <v>4.7142857142857143E-3</v>
      </c>
      <c r="CE85" s="381"/>
      <c r="CF85" s="381"/>
      <c r="CG85" s="381"/>
      <c r="CH85" s="381"/>
      <c r="DP85"/>
      <c r="DQ85" s="458"/>
      <c r="DR85"/>
      <c r="EI85" s="21"/>
      <c r="EJ85" s="18"/>
    </row>
    <row r="86" spans="33:140" ht="50" x14ac:dyDescent="0.3">
      <c r="AX86" s="101" t="s">
        <v>278</v>
      </c>
      <c r="AY86" s="476"/>
      <c r="AZ86" s="463">
        <v>1999</v>
      </c>
      <c r="BA86" s="288">
        <v>3.9670639760890931E-3</v>
      </c>
      <c r="BB86" s="521" t="s">
        <v>281</v>
      </c>
      <c r="CA86" s="449"/>
      <c r="CB86" s="453" t="s">
        <v>249</v>
      </c>
      <c r="CC86" s="257" t="s">
        <v>247</v>
      </c>
      <c r="CD86" s="446" t="s">
        <v>248</v>
      </c>
      <c r="CE86" s="453" t="s">
        <v>315</v>
      </c>
      <c r="CF86" s="453"/>
      <c r="CH86" s="381"/>
      <c r="DV86" s="44"/>
      <c r="DW86" s="44"/>
    </row>
    <row r="87" spans="33:140" ht="37.5" x14ac:dyDescent="0.3">
      <c r="AX87" s="101" t="s">
        <v>271</v>
      </c>
      <c r="AY87" s="476"/>
      <c r="AZ87" s="463">
        <v>2000</v>
      </c>
      <c r="BA87" s="288">
        <v>3.4285714285714288E-3</v>
      </c>
      <c r="BB87" s="521"/>
      <c r="CA87" s="453" t="s">
        <v>245</v>
      </c>
      <c r="CB87" s="453" t="s">
        <v>244</v>
      </c>
      <c r="CC87" s="453">
        <f>BW127</f>
        <v>0</v>
      </c>
      <c r="CD87" s="453" t="s">
        <v>246</v>
      </c>
      <c r="CE87" s="449"/>
      <c r="CF87" s="449"/>
      <c r="CG87" s="255" t="s">
        <v>250</v>
      </c>
      <c r="CH87" s="381"/>
    </row>
    <row r="88" spans="33:140" x14ac:dyDescent="0.3">
      <c r="AX88" s="101" t="s">
        <v>269</v>
      </c>
      <c r="AY88" s="476"/>
      <c r="AZ88" s="463">
        <v>1999</v>
      </c>
      <c r="BA88" s="288">
        <v>3.2857142857142855E-3</v>
      </c>
      <c r="BB88" s="521"/>
      <c r="BZ88" s="255">
        <v>40</v>
      </c>
      <c r="CA88" s="52">
        <v>0</v>
      </c>
      <c r="CB88" s="283">
        <v>1E-3</v>
      </c>
      <c r="CC88" s="52">
        <v>40</v>
      </c>
      <c r="CD88" s="74">
        <f t="shared" ref="CD88:CD106" si="83">12+CC88</f>
        <v>52</v>
      </c>
      <c r="CE88" s="27">
        <f t="shared" ref="CE88:CE106" si="84">-$CG$91*LN(CB88)+$CG$88</f>
        <v>39.538776394910684</v>
      </c>
      <c r="CF88" s="27"/>
      <c r="CG88" s="282">
        <v>5</v>
      </c>
      <c r="CH88" s="381"/>
    </row>
    <row r="89" spans="33:140" x14ac:dyDescent="0.3">
      <c r="AX89" s="101" t="s">
        <v>255</v>
      </c>
      <c r="AY89" s="476"/>
      <c r="AZ89" s="463">
        <v>2007</v>
      </c>
      <c r="BA89" s="288">
        <v>3.0000000000000001E-3</v>
      </c>
      <c r="BB89" s="521"/>
      <c r="BZ89" s="255">
        <v>30</v>
      </c>
      <c r="CA89" s="52">
        <v>10</v>
      </c>
      <c r="CB89" s="281">
        <f t="shared" ref="CB89:CB106" si="85">CA89*20/8000</f>
        <v>2.5000000000000001E-2</v>
      </c>
      <c r="CC89" s="52">
        <v>30</v>
      </c>
      <c r="CD89" s="74">
        <f t="shared" si="83"/>
        <v>42</v>
      </c>
      <c r="CE89" s="27">
        <f t="shared" si="84"/>
        <v>23.444397270569681</v>
      </c>
      <c r="CF89" s="27"/>
      <c r="CH89" s="381"/>
    </row>
    <row r="90" spans="33:140" x14ac:dyDescent="0.3">
      <c r="AX90" s="101" t="s">
        <v>270</v>
      </c>
      <c r="AY90" s="476"/>
      <c r="AZ90" s="463">
        <v>2000</v>
      </c>
      <c r="BA90" s="288">
        <v>2.142857142857143E-3</v>
      </c>
      <c r="BB90" s="521"/>
      <c r="BZ90" s="255">
        <v>20</v>
      </c>
      <c r="CA90" s="52">
        <v>25</v>
      </c>
      <c r="CB90" s="281">
        <f t="shared" si="85"/>
        <v>6.25E-2</v>
      </c>
      <c r="CC90" s="52">
        <v>20</v>
      </c>
      <c r="CD90" s="74">
        <f t="shared" si="83"/>
        <v>32</v>
      </c>
      <c r="CE90" s="27">
        <f t="shared" si="84"/>
        <v>18.862943611198908</v>
      </c>
      <c r="CF90" s="27"/>
      <c r="CG90" s="255" t="s">
        <v>251</v>
      </c>
      <c r="CH90" s="381"/>
    </row>
    <row r="91" spans="33:140" x14ac:dyDescent="0.3">
      <c r="AX91" s="101" t="s">
        <v>277</v>
      </c>
      <c r="AY91" s="476"/>
      <c r="AZ91" s="463">
        <v>1999</v>
      </c>
      <c r="BA91" s="288">
        <v>-8.0662155061252579E-3</v>
      </c>
      <c r="BB91" s="521"/>
      <c r="BU91">
        <v>1.45</v>
      </c>
      <c r="BV91">
        <v>16.2</v>
      </c>
      <c r="BW91" s="284">
        <f>LN(BU91)/BV91</f>
        <v>2.2936022002005126E-2</v>
      </c>
      <c r="BZ91" s="255">
        <v>17</v>
      </c>
      <c r="CA91" s="52">
        <v>40</v>
      </c>
      <c r="CB91" s="281">
        <f t="shared" si="85"/>
        <v>0.1</v>
      </c>
      <c r="CC91" s="52">
        <v>17</v>
      </c>
      <c r="CD91" s="74">
        <f t="shared" si="83"/>
        <v>29</v>
      </c>
      <c r="CE91" s="27">
        <f t="shared" si="84"/>
        <v>16.512925464970227</v>
      </c>
      <c r="CF91" s="27"/>
      <c r="CG91" s="282">
        <v>5</v>
      </c>
      <c r="CP91" s="444"/>
      <c r="CQ91" s="444"/>
      <c r="CR91" s="444"/>
      <c r="CS91" s="444"/>
    </row>
    <row r="92" spans="33:140" x14ac:dyDescent="0.4">
      <c r="BU92">
        <v>1.22</v>
      </c>
      <c r="BV92">
        <v>19.2</v>
      </c>
      <c r="BW92" s="284">
        <f>LN(BU92)/BV92</f>
        <v>1.035681555964402E-2</v>
      </c>
      <c r="CA92" s="278">
        <v>50</v>
      </c>
      <c r="CB92" s="280">
        <f t="shared" si="85"/>
        <v>0.125</v>
      </c>
      <c r="CC92" s="279">
        <v>14.285714285714285</v>
      </c>
      <c r="CD92" s="279">
        <f t="shared" si="83"/>
        <v>26.285714285714285</v>
      </c>
      <c r="CE92" s="27">
        <f t="shared" si="84"/>
        <v>15.397207708399179</v>
      </c>
      <c r="CF92" s="27"/>
      <c r="CP92" s="444"/>
      <c r="CQ92" s="444"/>
      <c r="CR92" s="444"/>
      <c r="CS92" s="444"/>
    </row>
    <row r="93" spans="33:140" x14ac:dyDescent="0.4">
      <c r="BU93">
        <v>1.08</v>
      </c>
      <c r="BV93">
        <v>19.399999999999999</v>
      </c>
      <c r="BW93" s="284">
        <f>LN(BU93)/BV93</f>
        <v>3.9670639760890931E-3</v>
      </c>
      <c r="CA93" s="278">
        <v>100</v>
      </c>
      <c r="CB93" s="280">
        <f t="shared" si="85"/>
        <v>0.25</v>
      </c>
      <c r="CC93" s="279">
        <v>12.5</v>
      </c>
      <c r="CD93" s="279">
        <f t="shared" si="83"/>
        <v>24.5</v>
      </c>
      <c r="CE93" s="27">
        <f t="shared" si="84"/>
        <v>11.931471805599454</v>
      </c>
      <c r="CF93" s="27"/>
    </row>
    <row r="94" spans="33:140" x14ac:dyDescent="0.4">
      <c r="BU94">
        <v>0.83</v>
      </c>
      <c r="BV94">
        <v>23.1</v>
      </c>
      <c r="BW94" s="284">
        <f>LN(BU94)/BV94</f>
        <v>-8.0662155061252579E-3</v>
      </c>
      <c r="BZ94" s="58"/>
      <c r="CA94" s="278">
        <v>150</v>
      </c>
      <c r="CB94" s="280">
        <f t="shared" si="85"/>
        <v>0.375</v>
      </c>
      <c r="CC94" s="279">
        <v>10.526315789473685</v>
      </c>
      <c r="CD94" s="279">
        <f t="shared" si="83"/>
        <v>22.526315789473685</v>
      </c>
      <c r="CE94" s="27">
        <f t="shared" si="84"/>
        <v>9.9041462650586318</v>
      </c>
      <c r="CF94" s="27"/>
    </row>
    <row r="95" spans="33:140" ht="12.75" customHeight="1" x14ac:dyDescent="0.4">
      <c r="BX95" s="47"/>
      <c r="BZ95" s="58"/>
      <c r="CA95" s="278">
        <v>200</v>
      </c>
      <c r="CB95" s="280">
        <f t="shared" si="85"/>
        <v>0.5</v>
      </c>
      <c r="CC95" s="279">
        <v>9.0909090909090917</v>
      </c>
      <c r="CD95" s="279">
        <f t="shared" si="83"/>
        <v>21.090909090909093</v>
      </c>
      <c r="CE95" s="27">
        <f t="shared" si="84"/>
        <v>8.465735902799727</v>
      </c>
      <c r="CF95" s="27"/>
    </row>
    <row r="96" spans="33:140" x14ac:dyDescent="0.4">
      <c r="BZ96" s="58"/>
      <c r="CA96" s="278">
        <v>250</v>
      </c>
      <c r="CB96" s="280">
        <f t="shared" si="85"/>
        <v>0.625</v>
      </c>
      <c r="CC96" s="279">
        <v>7.6923076923076916</v>
      </c>
      <c r="CD96" s="279">
        <f t="shared" si="83"/>
        <v>19.692307692307693</v>
      </c>
      <c r="CE96" s="27">
        <f t="shared" si="84"/>
        <v>7.3500181462286776</v>
      </c>
      <c r="CF96" s="27"/>
    </row>
    <row r="97" spans="39:133" x14ac:dyDescent="0.4">
      <c r="BZ97" s="58"/>
      <c r="CA97" s="278">
        <v>300</v>
      </c>
      <c r="CB97" s="280">
        <f t="shared" si="85"/>
        <v>0.75</v>
      </c>
      <c r="CC97" s="279">
        <v>6.666666666666667</v>
      </c>
      <c r="CD97" s="279">
        <f t="shared" si="83"/>
        <v>18.666666666666668</v>
      </c>
      <c r="CE97" s="27">
        <f t="shared" si="84"/>
        <v>6.4384103622589048</v>
      </c>
      <c r="CF97" s="27"/>
    </row>
    <row r="98" spans="39:133" x14ac:dyDescent="0.4">
      <c r="BZ98" s="21"/>
      <c r="CA98" s="278">
        <v>350</v>
      </c>
      <c r="CB98" s="280">
        <f t="shared" si="85"/>
        <v>0.875</v>
      </c>
      <c r="CC98" s="279">
        <v>4.2105263157894735</v>
      </c>
      <c r="CD98" s="279">
        <f t="shared" si="83"/>
        <v>16.210526315789473</v>
      </c>
      <c r="CE98" s="27">
        <f t="shared" si="84"/>
        <v>5.6676569631226128</v>
      </c>
      <c r="CF98" s="27"/>
      <c r="CH98" s="381"/>
      <c r="CI98" s="381"/>
      <c r="CJ98" s="381"/>
      <c r="CK98" s="381"/>
      <c r="CL98" s="381"/>
    </row>
    <row r="99" spans="39:133" ht="12.75" customHeight="1" x14ac:dyDescent="0.4">
      <c r="BY99" s="451"/>
      <c r="BZ99" s="21"/>
      <c r="CA99" s="278">
        <v>400</v>
      </c>
      <c r="CB99" s="280">
        <f t="shared" si="85"/>
        <v>1</v>
      </c>
      <c r="CC99" s="279">
        <v>3.6363636363636367</v>
      </c>
      <c r="CD99" s="279">
        <f t="shared" si="83"/>
        <v>15.636363636363637</v>
      </c>
      <c r="CE99" s="27">
        <f t="shared" si="84"/>
        <v>5</v>
      </c>
      <c r="CF99" s="27"/>
      <c r="CH99" s="381"/>
      <c r="CI99" s="381"/>
      <c r="CJ99" s="381"/>
      <c r="CK99" s="381"/>
      <c r="CL99" s="381"/>
    </row>
    <row r="100" spans="39:133" s="54" customFormat="1" ht="12.75" customHeight="1" x14ac:dyDescent="0.4">
      <c r="AM100"/>
      <c r="AN100"/>
      <c r="AO100"/>
      <c r="AP100"/>
      <c r="AQ100"/>
      <c r="AR100"/>
      <c r="AS100"/>
      <c r="AT100"/>
      <c r="AU100"/>
      <c r="AV100"/>
      <c r="AW100"/>
      <c r="AX100"/>
      <c r="AY100" s="471"/>
      <c r="AZ100" s="463"/>
      <c r="BC100" s="458"/>
      <c r="BL100"/>
      <c r="BM100"/>
      <c r="BX100" s="255"/>
      <c r="BY100" s="255"/>
      <c r="BZ100" s="107"/>
      <c r="CA100" s="278">
        <v>450</v>
      </c>
      <c r="CB100" s="280">
        <f t="shared" si="85"/>
        <v>1.125</v>
      </c>
      <c r="CC100" s="279">
        <v>3.0769230769230771</v>
      </c>
      <c r="CD100" s="279">
        <f t="shared" si="83"/>
        <v>15.076923076923077</v>
      </c>
      <c r="CE100" s="27">
        <f t="shared" si="84"/>
        <v>4.4110848217180827</v>
      </c>
      <c r="CF100" s="27"/>
      <c r="CG100" s="255"/>
      <c r="CH100" s="381"/>
      <c r="CI100" s="381"/>
      <c r="CJ100" s="381"/>
      <c r="CK100" s="381"/>
      <c r="CL100" s="381"/>
      <c r="DB100"/>
      <c r="DC100"/>
      <c r="DD100"/>
      <c r="DE100"/>
      <c r="DF100"/>
      <c r="DG100"/>
      <c r="DH100"/>
      <c r="DI100"/>
      <c r="DJ100"/>
      <c r="DK100"/>
      <c r="DL100"/>
      <c r="DP100" s="100"/>
      <c r="DQ100" s="57"/>
      <c r="DR100" s="100"/>
    </row>
    <row r="101" spans="39:133" x14ac:dyDescent="0.4">
      <c r="BM101" s="29"/>
      <c r="BZ101" s="21"/>
      <c r="CA101" s="278">
        <v>500</v>
      </c>
      <c r="CB101" s="280">
        <f t="shared" si="85"/>
        <v>1.25</v>
      </c>
      <c r="CC101" s="279">
        <v>2.8571428571428572</v>
      </c>
      <c r="CD101" s="279">
        <f t="shared" si="83"/>
        <v>14.857142857142858</v>
      </c>
      <c r="CE101" s="27">
        <f t="shared" si="84"/>
        <v>3.8842822434289515</v>
      </c>
      <c r="CF101" s="27"/>
      <c r="CH101" s="381"/>
      <c r="CI101" s="381"/>
      <c r="CJ101" s="381"/>
      <c r="CK101" s="381"/>
      <c r="CL101" s="381"/>
    </row>
    <row r="102" spans="39:133" x14ac:dyDescent="0.4">
      <c r="BM102" s="29"/>
      <c r="BZ102" s="21"/>
      <c r="CA102" s="278">
        <v>550</v>
      </c>
      <c r="CB102" s="280">
        <f t="shared" si="85"/>
        <v>1.375</v>
      </c>
      <c r="CC102" s="279">
        <v>1.8181818181818181</v>
      </c>
      <c r="CD102" s="279">
        <f t="shared" si="83"/>
        <v>13.818181818181818</v>
      </c>
      <c r="CE102" s="27">
        <f t="shared" si="84"/>
        <v>3.4077313444073272</v>
      </c>
      <c r="CF102" s="27"/>
      <c r="CH102" s="381"/>
      <c r="CI102" s="381"/>
      <c r="CJ102" s="381"/>
      <c r="CK102" s="381"/>
      <c r="CL102" s="381"/>
      <c r="DV102" s="21"/>
      <c r="DW102" s="21"/>
    </row>
    <row r="103" spans="39:133" ht="12.75" customHeight="1" x14ac:dyDescent="0.4">
      <c r="BM103" s="29"/>
      <c r="BZ103" s="21"/>
      <c r="CA103" s="278">
        <v>600</v>
      </c>
      <c r="CB103" s="280">
        <f t="shared" si="85"/>
        <v>1.5</v>
      </c>
      <c r="CC103" s="279">
        <v>1.6216216216216215</v>
      </c>
      <c r="CD103" s="279">
        <f t="shared" si="83"/>
        <v>13.621621621621621</v>
      </c>
      <c r="CE103" s="27">
        <f t="shared" si="84"/>
        <v>2.9726744594591779</v>
      </c>
      <c r="CF103" s="27"/>
      <c r="CH103" s="60"/>
      <c r="CI103" s="60"/>
      <c r="CJ103" s="60"/>
      <c r="CK103" s="60"/>
      <c r="CL103" s="60"/>
      <c r="CM103" s="60"/>
      <c r="CN103" s="60"/>
      <c r="CO103" s="60"/>
      <c r="CP103" s="60"/>
      <c r="CQ103" s="60"/>
      <c r="CR103" s="60"/>
      <c r="CS103" s="60"/>
      <c r="CT103" s="60"/>
      <c r="CU103" s="60"/>
      <c r="CV103" s="60"/>
      <c r="CW103" s="60"/>
    </row>
    <row r="104" spans="39:133" x14ac:dyDescent="0.4">
      <c r="BM104" s="29"/>
      <c r="BZ104" s="21">
        <v>1.4</v>
      </c>
      <c r="CA104" s="52">
        <v>800</v>
      </c>
      <c r="CB104" s="281">
        <f t="shared" si="85"/>
        <v>2</v>
      </c>
      <c r="CC104" s="52">
        <v>1.4</v>
      </c>
      <c r="CD104" s="74">
        <f t="shared" si="83"/>
        <v>13.4</v>
      </c>
      <c r="CE104" s="27">
        <f t="shared" si="84"/>
        <v>1.5342640972002735</v>
      </c>
      <c r="CF104" s="27"/>
      <c r="CH104" s="60"/>
      <c r="CI104" s="60"/>
      <c r="CJ104" s="60"/>
      <c r="CK104" s="60"/>
      <c r="CL104" s="60"/>
      <c r="CM104" s="60"/>
      <c r="CN104" s="60"/>
      <c r="CO104" s="60"/>
      <c r="CP104" s="60"/>
      <c r="CQ104" s="60"/>
      <c r="CR104" s="60"/>
      <c r="CS104" s="60"/>
      <c r="CT104" s="60"/>
      <c r="CU104" s="60"/>
      <c r="CV104" s="60"/>
      <c r="CW104" s="60"/>
      <c r="DV104" s="12"/>
      <c r="DW104" s="12"/>
      <c r="DX104" s="12"/>
      <c r="DY104" s="12"/>
      <c r="DZ104" s="12"/>
      <c r="EA104" s="12"/>
      <c r="EB104" s="12"/>
    </row>
    <row r="105" spans="39:133" x14ac:dyDescent="0.4">
      <c r="BM105" s="29"/>
      <c r="BZ105" s="21">
        <v>1</v>
      </c>
      <c r="CA105" s="52">
        <v>1000</v>
      </c>
      <c r="CB105" s="281">
        <f t="shared" si="85"/>
        <v>2.5</v>
      </c>
      <c r="CC105" s="52">
        <v>1</v>
      </c>
      <c r="CD105" s="74">
        <f t="shared" si="83"/>
        <v>13</v>
      </c>
      <c r="CE105" s="27">
        <f t="shared" si="84"/>
        <v>0.41854634062922447</v>
      </c>
      <c r="CF105" s="27"/>
      <c r="CH105" s="60"/>
      <c r="CI105" s="60"/>
      <c r="CJ105" s="60"/>
      <c r="CK105" s="60"/>
      <c r="CL105" s="60"/>
      <c r="CM105" s="60"/>
      <c r="CN105" s="60"/>
      <c r="CO105" s="60"/>
      <c r="CP105" s="60"/>
      <c r="CQ105" s="60"/>
      <c r="CR105" s="60"/>
      <c r="CS105" s="60"/>
      <c r="CT105" s="60"/>
      <c r="CU105" s="60"/>
      <c r="CV105" s="60"/>
      <c r="CW105" s="60"/>
      <c r="DX105" s="255"/>
      <c r="DY105" s="255"/>
      <c r="DZ105" s="255"/>
      <c r="EA105" s="255"/>
      <c r="EB105" s="255"/>
    </row>
    <row r="106" spans="39:133" x14ac:dyDescent="0.4">
      <c r="BM106" s="29"/>
      <c r="BZ106" s="21">
        <v>0.5</v>
      </c>
      <c r="CA106" s="52">
        <v>1200</v>
      </c>
      <c r="CB106" s="281">
        <f t="shared" si="85"/>
        <v>3</v>
      </c>
      <c r="CC106" s="52">
        <v>0.5</v>
      </c>
      <c r="CD106" s="74">
        <f t="shared" si="83"/>
        <v>12.5</v>
      </c>
      <c r="CE106" s="27">
        <f t="shared" si="84"/>
        <v>-0.49306144334054913</v>
      </c>
      <c r="CF106" s="27"/>
      <c r="EC106" s="29"/>
    </row>
    <row r="107" spans="39:133" x14ac:dyDescent="0.4">
      <c r="BM107" s="29"/>
      <c r="BZ107" s="21"/>
      <c r="CC107" s="101"/>
      <c r="CD107" s="27"/>
      <c r="CE107" s="108"/>
      <c r="CF107" s="108"/>
      <c r="CG107" s="109"/>
      <c r="EC107" s="29"/>
    </row>
    <row r="108" spans="39:133" x14ac:dyDescent="0.4">
      <c r="BM108" s="29"/>
      <c r="BZ108" s="58"/>
      <c r="CC108" s="101"/>
      <c r="CD108" s="27"/>
      <c r="CE108" s="108"/>
      <c r="CF108" s="108"/>
      <c r="CG108" s="109"/>
      <c r="EC108" s="29"/>
    </row>
    <row r="109" spans="39:133" x14ac:dyDescent="0.4">
      <c r="BM109" s="29"/>
      <c r="BZ109" s="58"/>
      <c r="CC109" s="101"/>
      <c r="CD109" s="27"/>
      <c r="CE109" s="108"/>
      <c r="CF109" s="108"/>
      <c r="CG109" s="109"/>
      <c r="EC109" s="29"/>
    </row>
    <row r="110" spans="39:133" x14ac:dyDescent="0.4">
      <c r="BM110" s="29"/>
      <c r="BZ110" s="58"/>
      <c r="CC110" s="101"/>
      <c r="CD110" s="27"/>
      <c r="CE110" s="108"/>
      <c r="CF110" s="108"/>
      <c r="CG110" s="109"/>
    </row>
    <row r="111" spans="39:133" x14ac:dyDescent="0.4">
      <c r="BM111" s="29"/>
      <c r="BZ111" s="58"/>
      <c r="CC111" s="101"/>
      <c r="CD111" s="27"/>
      <c r="CE111" s="108"/>
      <c r="CF111" s="108"/>
      <c r="CG111" s="109"/>
    </row>
    <row r="112" spans="39:133" x14ac:dyDescent="0.4">
      <c r="BM112" s="29"/>
      <c r="BZ112" s="58"/>
      <c r="CC112" s="101"/>
      <c r="CD112" s="27"/>
      <c r="CE112" s="108"/>
      <c r="CF112" s="108"/>
      <c r="CG112" s="109"/>
    </row>
    <row r="113" spans="65:122" x14ac:dyDescent="0.4">
      <c r="BM113" s="29"/>
      <c r="BZ113" s="58"/>
      <c r="CC113" s="101"/>
      <c r="CD113" s="27"/>
      <c r="CE113" s="108"/>
      <c r="CF113" s="108"/>
      <c r="CG113" s="109"/>
    </row>
    <row r="114" spans="65:122" x14ac:dyDescent="0.4">
      <c r="BZ114" s="58"/>
      <c r="CC114" s="101"/>
      <c r="CD114" s="27"/>
      <c r="CE114" s="108"/>
      <c r="CF114" s="108"/>
      <c r="CG114" s="109"/>
      <c r="DP114" s="17"/>
      <c r="DQ114" s="392"/>
      <c r="DR114" s="17"/>
    </row>
    <row r="115" spans="65:122" x14ac:dyDescent="0.4">
      <c r="BZ115" s="58"/>
      <c r="CC115" s="101"/>
      <c r="CD115" s="27"/>
      <c r="CE115" s="108"/>
      <c r="CF115" s="108"/>
      <c r="CG115" s="109"/>
      <c r="DP115" s="17"/>
      <c r="DQ115" s="392"/>
      <c r="DR115" s="17"/>
    </row>
    <row r="116" spans="65:122" x14ac:dyDescent="0.4">
      <c r="BM116" s="29"/>
      <c r="BZ116" s="58"/>
      <c r="CC116" s="101"/>
      <c r="CD116" s="27"/>
      <c r="CE116" s="108"/>
      <c r="CF116" s="108"/>
      <c r="CG116" s="109"/>
      <c r="DP116" s="17"/>
      <c r="DQ116" s="392"/>
      <c r="DR116" s="17"/>
    </row>
    <row r="117" spans="65:122" x14ac:dyDescent="0.4">
      <c r="BM117" s="29"/>
      <c r="BZ117" s="58"/>
      <c r="DP117" s="17"/>
      <c r="DQ117" s="392"/>
      <c r="DR117" s="17"/>
    </row>
    <row r="118" spans="65:122" x14ac:dyDescent="0.4">
      <c r="BM118" s="29"/>
      <c r="BZ118" s="58"/>
      <c r="DP118" s="17"/>
      <c r="DQ118" s="392"/>
      <c r="DR118" s="17"/>
    </row>
    <row r="119" spans="65:122" x14ac:dyDescent="0.4">
      <c r="DP119" s="17"/>
      <c r="DQ119" s="392"/>
      <c r="DR119" s="17"/>
    </row>
    <row r="120" spans="65:122" x14ac:dyDescent="0.4">
      <c r="DP120" s="17"/>
      <c r="DQ120" s="392"/>
      <c r="DR120" s="17"/>
    </row>
    <row r="121" spans="65:122" x14ac:dyDescent="0.4">
      <c r="DB121" s="255"/>
      <c r="DP121" s="17"/>
      <c r="DQ121" s="392"/>
      <c r="DR121" s="17"/>
    </row>
    <row r="122" spans="65:122" x14ac:dyDescent="0.4">
      <c r="DB122" s="255"/>
      <c r="DP122" s="17"/>
      <c r="DQ122" s="392"/>
      <c r="DR122" s="17"/>
    </row>
    <row r="123" spans="65:122" x14ac:dyDescent="0.4">
      <c r="DB123" s="255"/>
      <c r="DP123" s="17"/>
      <c r="DQ123" s="392"/>
      <c r="DR123" s="17"/>
    </row>
    <row r="124" spans="65:122" x14ac:dyDescent="0.4">
      <c r="DB124" s="255"/>
      <c r="DP124" s="17"/>
      <c r="DQ124" s="392"/>
      <c r="DR124" s="17"/>
    </row>
    <row r="125" spans="65:122" x14ac:dyDescent="0.4">
      <c r="DB125" s="255"/>
      <c r="DP125" s="17"/>
      <c r="DQ125" s="392"/>
      <c r="DR125" s="17"/>
    </row>
    <row r="126" spans="65:122" x14ac:dyDescent="0.4">
      <c r="BW126" s="54"/>
      <c r="BZ126"/>
      <c r="DB126" s="255"/>
      <c r="DP126" s="17"/>
      <c r="DQ126" s="392"/>
      <c r="DR126" s="17"/>
    </row>
    <row r="127" spans="65:122" x14ac:dyDescent="0.4">
      <c r="BT127" s="20"/>
      <c r="BU127" s="20"/>
      <c r="BV127" s="20"/>
      <c r="BW127" s="20"/>
      <c r="BZ127"/>
      <c r="DB127" s="255"/>
      <c r="DP127" s="17"/>
      <c r="DQ127" s="392"/>
      <c r="DR127" s="17"/>
    </row>
    <row r="128" spans="65:122" x14ac:dyDescent="0.4">
      <c r="BW128" s="30"/>
      <c r="BZ128"/>
      <c r="DB128" s="255"/>
      <c r="DP128" s="17"/>
      <c r="DQ128" s="392"/>
      <c r="DR128" s="17"/>
    </row>
    <row r="129" spans="75:122" x14ac:dyDescent="0.4">
      <c r="BW129" s="30"/>
      <c r="BZ129"/>
      <c r="DB129" s="255"/>
      <c r="DP129" s="17"/>
      <c r="DQ129" s="392"/>
      <c r="DR129" s="17"/>
    </row>
    <row r="130" spans="75:122" x14ac:dyDescent="0.4">
      <c r="BW130" s="30"/>
      <c r="BZ130"/>
      <c r="DB130" s="255"/>
      <c r="DP130" s="17"/>
      <c r="DQ130" s="392"/>
      <c r="DR130" s="17"/>
    </row>
    <row r="131" spans="75:122" x14ac:dyDescent="0.4">
      <c r="BW131" s="30"/>
      <c r="BZ131"/>
      <c r="DB131" s="255"/>
      <c r="DP131" s="17"/>
      <c r="DQ131" s="392"/>
      <c r="DR131" s="17"/>
    </row>
    <row r="132" spans="75:122" x14ac:dyDescent="0.4">
      <c r="BW132" s="30"/>
      <c r="BZ132"/>
      <c r="DB132" s="255"/>
      <c r="DP132" s="17"/>
      <c r="DQ132" s="392"/>
      <c r="DR132" s="17"/>
    </row>
    <row r="133" spans="75:122" x14ac:dyDescent="0.4">
      <c r="BW133" s="30"/>
      <c r="BZ133"/>
      <c r="DB133" s="255"/>
      <c r="DP133" s="17"/>
      <c r="DQ133" s="392"/>
      <c r="DR133" s="17"/>
    </row>
    <row r="134" spans="75:122" x14ac:dyDescent="0.4">
      <c r="BW134" s="30"/>
      <c r="BZ134"/>
      <c r="DB134" s="255"/>
      <c r="DP134" s="17"/>
      <c r="DQ134" s="392"/>
      <c r="DR134" s="17"/>
    </row>
    <row r="135" spans="75:122" x14ac:dyDescent="0.4">
      <c r="BW135" s="30"/>
      <c r="BZ135"/>
      <c r="DB135" s="255"/>
      <c r="DP135" s="17"/>
      <c r="DQ135" s="392"/>
      <c r="DR135" s="17"/>
    </row>
    <row r="136" spans="75:122" x14ac:dyDescent="0.4">
      <c r="BW136" s="30"/>
      <c r="BZ136"/>
      <c r="DB136" s="255"/>
      <c r="DP136" s="17"/>
      <c r="DQ136" s="392"/>
      <c r="DR136" s="17"/>
    </row>
    <row r="137" spans="75:122" x14ac:dyDescent="0.4">
      <c r="BW137" s="30"/>
      <c r="BZ137"/>
      <c r="DB137" s="255"/>
      <c r="DP137" s="17"/>
      <c r="DQ137" s="392"/>
      <c r="DR137" s="17"/>
    </row>
    <row r="138" spans="75:122" x14ac:dyDescent="0.4">
      <c r="BW138" s="30"/>
      <c r="BZ138"/>
    </row>
    <row r="139" spans="75:122" x14ac:dyDescent="0.4">
      <c r="BW139" s="30"/>
      <c r="BZ139"/>
    </row>
    <row r="140" spans="75:122" x14ac:dyDescent="0.4">
      <c r="BX140"/>
      <c r="BY140"/>
      <c r="BZ140"/>
    </row>
    <row r="141" spans="75:122" x14ac:dyDescent="0.4">
      <c r="BX141"/>
      <c r="BY141"/>
      <c r="BZ141"/>
    </row>
    <row r="142" spans="75:122" x14ac:dyDescent="0.4">
      <c r="BX142"/>
      <c r="BY142"/>
      <c r="BZ142"/>
    </row>
    <row r="143" spans="75:122" x14ac:dyDescent="0.4">
      <c r="BX143"/>
      <c r="BY143"/>
      <c r="BZ143"/>
    </row>
    <row r="144" spans="75:122" x14ac:dyDescent="0.4">
      <c r="BX144"/>
      <c r="BY144"/>
      <c r="BZ144"/>
    </row>
    <row r="145" spans="51:143" x14ac:dyDescent="0.4">
      <c r="BX145"/>
      <c r="BY145"/>
      <c r="BZ145"/>
    </row>
    <row r="146" spans="51:143" s="255" customFormat="1" x14ac:dyDescent="0.4">
      <c r="AY146" s="471"/>
      <c r="AZ146" s="463"/>
      <c r="BC146" s="458"/>
      <c r="BW146"/>
      <c r="BX146"/>
      <c r="BY146"/>
      <c r="CM146"/>
      <c r="CN146"/>
      <c r="CO146"/>
      <c r="CP146"/>
      <c r="CQ146"/>
      <c r="CR146"/>
      <c r="CS146"/>
      <c r="CT146"/>
      <c r="CU146"/>
      <c r="CV146"/>
      <c r="CW146"/>
      <c r="CX146"/>
      <c r="CY146"/>
      <c r="CZ146"/>
      <c r="DA146"/>
      <c r="DB146"/>
      <c r="DC146"/>
      <c r="DD146"/>
      <c r="DE146"/>
      <c r="DF146"/>
      <c r="DG146"/>
      <c r="DH146"/>
      <c r="DI146"/>
      <c r="DJ146"/>
      <c r="DK146"/>
      <c r="DL146"/>
      <c r="DM146"/>
      <c r="DN146"/>
      <c r="DO146"/>
      <c r="DP146" s="18"/>
      <c r="DQ146" s="57"/>
      <c r="DR146" s="18"/>
      <c r="DS146"/>
      <c r="DT146"/>
      <c r="DU146"/>
      <c r="DV146"/>
      <c r="DW146"/>
      <c r="DX146"/>
      <c r="DY146"/>
      <c r="DZ146"/>
      <c r="EA146"/>
      <c r="EB146"/>
      <c r="EC146"/>
      <c r="ED146"/>
      <c r="EE146"/>
      <c r="EF146"/>
      <c r="EG146"/>
      <c r="EH146"/>
      <c r="EI146"/>
      <c r="EJ146"/>
      <c r="EK146"/>
      <c r="EL146"/>
      <c r="EM146"/>
    </row>
    <row r="147" spans="51:143" s="255" customFormat="1" x14ac:dyDescent="0.4">
      <c r="AY147" s="471"/>
      <c r="AZ147" s="463"/>
      <c r="BC147" s="458"/>
      <c r="BP147"/>
      <c r="BQ147"/>
      <c r="BR147"/>
      <c r="BS147"/>
      <c r="BT147"/>
      <c r="BU147"/>
      <c r="BV147"/>
      <c r="BW147"/>
      <c r="BZ147" s="58"/>
      <c r="CA147"/>
      <c r="CB147"/>
      <c r="CC147" s="30"/>
      <c r="CD147" s="29"/>
      <c r="CE147"/>
      <c r="CF147"/>
      <c r="CM147"/>
      <c r="CN147"/>
      <c r="CO147"/>
      <c r="CP147"/>
      <c r="CQ147"/>
      <c r="CR147"/>
      <c r="CS147"/>
      <c r="CT147"/>
      <c r="CU147"/>
      <c r="CV147"/>
      <c r="CW147"/>
      <c r="CX147"/>
      <c r="CY147"/>
      <c r="CZ147"/>
      <c r="DA147"/>
      <c r="DB147"/>
      <c r="DC147"/>
      <c r="DD147"/>
      <c r="DE147"/>
      <c r="DF147"/>
      <c r="DG147"/>
      <c r="DH147"/>
      <c r="DI147"/>
      <c r="DJ147"/>
      <c r="DK147"/>
      <c r="DL147"/>
      <c r="DM147"/>
      <c r="DN147"/>
      <c r="DO147"/>
      <c r="DP147" s="18"/>
      <c r="DQ147" s="57"/>
      <c r="DR147" s="18"/>
      <c r="DS147"/>
      <c r="DT147"/>
      <c r="DU147"/>
      <c r="DV147"/>
      <c r="DW147"/>
      <c r="DX147"/>
      <c r="DY147"/>
      <c r="DZ147"/>
      <c r="EA147"/>
      <c r="EB147"/>
      <c r="EC147"/>
      <c r="ED147"/>
      <c r="EE147"/>
      <c r="EF147"/>
      <c r="EG147"/>
      <c r="EH147"/>
      <c r="EI147"/>
      <c r="EJ147"/>
      <c r="EK147"/>
      <c r="EL147"/>
      <c r="EM147"/>
    </row>
    <row r="148" spans="51:143" s="255" customFormat="1" x14ac:dyDescent="0.4">
      <c r="AY148" s="471"/>
      <c r="AZ148" s="463"/>
      <c r="BC148" s="458"/>
      <c r="BP148"/>
      <c r="BQ148"/>
      <c r="BR148"/>
      <c r="BS148"/>
      <c r="BT148"/>
      <c r="BU148"/>
      <c r="BV148"/>
      <c r="BW148"/>
      <c r="BZ148" s="58"/>
      <c r="CA148"/>
      <c r="CB148"/>
      <c r="CC148" s="30"/>
      <c r="CD148" s="29"/>
      <c r="CE148"/>
      <c r="CF148"/>
      <c r="CM148"/>
      <c r="CN148"/>
      <c r="CO148"/>
      <c r="CP148"/>
      <c r="CQ148"/>
      <c r="CR148"/>
      <c r="CS148"/>
      <c r="CT148"/>
      <c r="CU148"/>
      <c r="CV148"/>
      <c r="CW148"/>
      <c r="CX148"/>
      <c r="CY148"/>
      <c r="CZ148"/>
      <c r="DA148"/>
      <c r="DB148"/>
      <c r="DC148"/>
      <c r="DD148"/>
      <c r="DE148"/>
      <c r="DF148"/>
      <c r="DG148"/>
      <c r="DH148"/>
      <c r="DI148"/>
      <c r="DJ148"/>
      <c r="DK148"/>
      <c r="DL148"/>
      <c r="DM148"/>
      <c r="DN148"/>
      <c r="DO148"/>
      <c r="DP148" s="18"/>
      <c r="DQ148" s="57"/>
      <c r="DR148" s="18"/>
      <c r="DS148"/>
      <c r="DT148"/>
      <c r="DU148"/>
      <c r="DV148"/>
      <c r="DW148"/>
      <c r="DX148"/>
      <c r="DY148"/>
      <c r="DZ148"/>
      <c r="EA148"/>
      <c r="EB148"/>
      <c r="EC148"/>
      <c r="ED148"/>
      <c r="EE148"/>
      <c r="EF148"/>
      <c r="EG148"/>
      <c r="EH148"/>
      <c r="EI148"/>
      <c r="EJ148"/>
      <c r="EK148"/>
      <c r="EL148"/>
      <c r="EM148"/>
    </row>
    <row r="149" spans="51:143" s="255" customFormat="1" x14ac:dyDescent="0.4">
      <c r="AY149" s="471"/>
      <c r="AZ149" s="463"/>
      <c r="BC149" s="458"/>
      <c r="BP149"/>
      <c r="BQ149"/>
      <c r="BR149"/>
      <c r="BS149"/>
      <c r="BT149"/>
      <c r="BU149"/>
      <c r="BV149"/>
      <c r="BW149"/>
      <c r="BZ149" s="58"/>
      <c r="CA149"/>
      <c r="CB149"/>
      <c r="CC149" s="30"/>
      <c r="CD149" s="29"/>
      <c r="CE149"/>
      <c r="CF149"/>
      <c r="CM149"/>
      <c r="CN149"/>
      <c r="CO149"/>
      <c r="CP149"/>
      <c r="CQ149"/>
      <c r="CR149"/>
      <c r="CS149"/>
      <c r="CT149"/>
      <c r="CU149"/>
      <c r="CV149"/>
      <c r="CW149"/>
      <c r="CX149"/>
      <c r="CY149"/>
      <c r="CZ149"/>
      <c r="DA149"/>
      <c r="DB149"/>
      <c r="DC149"/>
      <c r="DD149"/>
      <c r="DE149"/>
      <c r="DF149"/>
      <c r="DG149"/>
      <c r="DH149"/>
      <c r="DI149"/>
      <c r="DJ149"/>
      <c r="DK149"/>
      <c r="DL149"/>
      <c r="DM149"/>
      <c r="DN149"/>
      <c r="DO149"/>
      <c r="DP149" s="18"/>
      <c r="DQ149" s="57"/>
      <c r="DR149" s="18"/>
      <c r="DS149"/>
      <c r="DT149"/>
      <c r="DU149"/>
      <c r="DV149"/>
      <c r="DW149"/>
      <c r="DX149"/>
      <c r="DY149"/>
      <c r="DZ149"/>
      <c r="EA149"/>
      <c r="EB149"/>
      <c r="EC149"/>
      <c r="ED149"/>
      <c r="EE149"/>
      <c r="EF149"/>
      <c r="EG149"/>
      <c r="EH149"/>
      <c r="EI149"/>
      <c r="EJ149"/>
      <c r="EK149"/>
      <c r="EL149"/>
      <c r="EM149"/>
    </row>
    <row r="150" spans="51:143" s="255" customFormat="1" x14ac:dyDescent="0.4">
      <c r="AY150" s="471"/>
      <c r="AZ150" s="463"/>
      <c r="BC150" s="458"/>
      <c r="BP150"/>
      <c r="BQ150"/>
      <c r="BR150"/>
      <c r="BS150"/>
      <c r="BT150"/>
      <c r="BU150"/>
      <c r="BV150"/>
      <c r="BW150"/>
      <c r="BZ150" s="58"/>
      <c r="CA150"/>
      <c r="CB150"/>
      <c r="CC150" s="30"/>
      <c r="CD150" s="29"/>
      <c r="CE150"/>
      <c r="CF150"/>
      <c r="CM150"/>
      <c r="CN150"/>
      <c r="CO150"/>
      <c r="CP150"/>
      <c r="CQ150"/>
      <c r="CR150"/>
      <c r="CS150"/>
      <c r="CT150"/>
      <c r="CU150"/>
      <c r="CV150"/>
      <c r="CW150"/>
      <c r="CX150"/>
      <c r="CY150"/>
      <c r="CZ150"/>
      <c r="DA150"/>
      <c r="DB150"/>
      <c r="DC150"/>
      <c r="DD150"/>
      <c r="DE150"/>
      <c r="DF150"/>
      <c r="DG150"/>
      <c r="DH150"/>
      <c r="DI150"/>
      <c r="DJ150"/>
      <c r="DK150"/>
      <c r="DL150"/>
      <c r="DM150"/>
      <c r="DN150"/>
      <c r="DO150"/>
      <c r="DP150" s="18"/>
      <c r="DQ150" s="57"/>
      <c r="DR150" s="18"/>
      <c r="DS150"/>
      <c r="DT150"/>
      <c r="DU150"/>
      <c r="DV150"/>
      <c r="DW150"/>
      <c r="DX150"/>
      <c r="DY150"/>
      <c r="DZ150"/>
      <c r="EA150"/>
      <c r="EB150"/>
      <c r="EC150"/>
      <c r="ED150"/>
      <c r="EE150"/>
      <c r="EF150"/>
      <c r="EG150"/>
      <c r="EH150"/>
      <c r="EI150"/>
      <c r="EJ150"/>
      <c r="EK150"/>
      <c r="EL150"/>
      <c r="EM150"/>
    </row>
    <row r="151" spans="51:143" s="255" customFormat="1" x14ac:dyDescent="0.4">
      <c r="AY151" s="471"/>
      <c r="AZ151" s="463"/>
      <c r="BC151" s="458"/>
      <c r="BP151"/>
      <c r="BQ151"/>
      <c r="BR151"/>
      <c r="BS151"/>
      <c r="BT151"/>
      <c r="BU151"/>
      <c r="BV151"/>
      <c r="BW151"/>
      <c r="BZ151" s="58"/>
      <c r="CA151"/>
      <c r="CB151"/>
      <c r="CC151" s="30"/>
      <c r="CD151" s="29"/>
      <c r="CE151"/>
      <c r="CF151"/>
      <c r="CM151"/>
      <c r="CN151"/>
      <c r="CO151"/>
      <c r="CP151"/>
      <c r="CQ151"/>
      <c r="CR151"/>
      <c r="CS151"/>
      <c r="CT151"/>
      <c r="CU151"/>
      <c r="CV151"/>
      <c r="CW151"/>
      <c r="CX151"/>
      <c r="CY151"/>
      <c r="CZ151"/>
      <c r="DA151"/>
      <c r="DB151"/>
      <c r="DC151"/>
      <c r="DD151"/>
      <c r="DE151"/>
      <c r="DF151"/>
      <c r="DG151"/>
      <c r="DH151"/>
      <c r="DI151"/>
      <c r="DJ151"/>
      <c r="DK151"/>
      <c r="DL151"/>
      <c r="DM151"/>
      <c r="DN151"/>
      <c r="DO151"/>
      <c r="DP151" s="18"/>
      <c r="DQ151" s="57"/>
      <c r="DR151" s="18"/>
      <c r="DS151"/>
      <c r="DT151"/>
      <c r="DU151"/>
      <c r="DV151"/>
      <c r="DW151"/>
      <c r="DX151"/>
      <c r="DY151"/>
      <c r="DZ151"/>
      <c r="EA151"/>
      <c r="EB151"/>
      <c r="EC151"/>
      <c r="ED151"/>
      <c r="EE151"/>
      <c r="EF151"/>
      <c r="EG151"/>
      <c r="EH151"/>
      <c r="EI151"/>
      <c r="EJ151"/>
      <c r="EK151"/>
      <c r="EL151"/>
      <c r="EM151"/>
    </row>
    <row r="152" spans="51:143" s="255" customFormat="1" x14ac:dyDescent="0.4">
      <c r="AY152" s="471"/>
      <c r="AZ152" s="463"/>
      <c r="BC152" s="458"/>
      <c r="BP152"/>
      <c r="BQ152"/>
      <c r="BR152"/>
      <c r="BS152"/>
      <c r="BT152"/>
      <c r="BU152"/>
      <c r="BV152"/>
      <c r="BW152"/>
      <c r="BZ152"/>
      <c r="CA152"/>
      <c r="CB152"/>
      <c r="CC152"/>
      <c r="CD152"/>
      <c r="CE152"/>
      <c r="CF152"/>
      <c r="CM152"/>
      <c r="CN152"/>
      <c r="CO152"/>
      <c r="CP152"/>
      <c r="CQ152"/>
      <c r="CR152"/>
      <c r="CS152"/>
      <c r="CT152"/>
      <c r="CU152"/>
      <c r="CV152"/>
      <c r="CW152"/>
      <c r="CX152"/>
      <c r="CY152"/>
      <c r="CZ152"/>
      <c r="DA152"/>
      <c r="DB152"/>
      <c r="DC152"/>
      <c r="DD152"/>
      <c r="DE152"/>
      <c r="DF152"/>
      <c r="DG152"/>
      <c r="DH152"/>
      <c r="DI152"/>
      <c r="DJ152"/>
      <c r="DK152"/>
      <c r="DL152"/>
      <c r="DM152"/>
      <c r="DN152"/>
      <c r="DO152"/>
      <c r="DP152" s="18"/>
      <c r="DQ152" s="57"/>
      <c r="DR152" s="18"/>
      <c r="DS152"/>
      <c r="DT152"/>
      <c r="DU152"/>
      <c r="DV152"/>
      <c r="DW152"/>
      <c r="DX152"/>
      <c r="DY152"/>
      <c r="DZ152"/>
      <c r="EA152"/>
      <c r="EB152"/>
      <c r="EC152"/>
      <c r="ED152"/>
      <c r="EE152"/>
      <c r="EF152"/>
      <c r="EG152"/>
      <c r="EH152"/>
      <c r="EI152"/>
      <c r="EJ152"/>
      <c r="EK152"/>
      <c r="EL152"/>
      <c r="EM152"/>
    </row>
    <row r="153" spans="51:143" x14ac:dyDescent="0.4">
      <c r="BZ153"/>
      <c r="CA153"/>
      <c r="CB153"/>
      <c r="CC153"/>
      <c r="CD153"/>
      <c r="CE153"/>
      <c r="CF153"/>
    </row>
    <row r="154" spans="51:143" x14ac:dyDescent="0.4">
      <c r="CA154"/>
      <c r="CB154"/>
      <c r="CC154" s="30"/>
      <c r="CD154" s="29"/>
      <c r="CE154"/>
      <c r="CF154"/>
    </row>
  </sheetData>
  <sheetProtection password="CF27" sheet="1" objects="1" scenarios="1" selectLockedCells="1"/>
  <customSheetViews>
    <customSheetView guid="{C5ECCA7E-81F6-46F5-BEA0-A5F2DAD22AC9}" scale="90" topLeftCell="A4">
      <selection activeCell="C23" sqref="C23"/>
      <colBreaks count="1" manualBreakCount="1">
        <brk id="67" max="1048575" man="1"/>
      </colBreaks>
      <pageMargins left="0.7" right="0.7" top="0.75" bottom="0" header="0.3" footer="0.3"/>
      <pageSetup scale="34" orientation="portrait" r:id="rId1"/>
    </customSheetView>
    <customSheetView guid="{40D14490-07BB-46F3-8435-9C462BE853EE}" scale="90" topLeftCell="A4">
      <selection activeCell="C23" sqref="C23"/>
      <colBreaks count="1" manualBreakCount="1">
        <brk id="67" max="1048575" man="1"/>
      </colBreaks>
      <pageMargins left="0.7" right="0.7" top="0.75" bottom="0" header="0.3" footer="0.3"/>
      <pageSetup scale="34" orientation="portrait" r:id="rId2"/>
    </customSheetView>
  </customSheetViews>
  <mergeCells count="75">
    <mergeCell ref="BB69:BB78"/>
    <mergeCell ref="BX74:CC78"/>
    <mergeCell ref="BB86:BB91"/>
    <mergeCell ref="C49:H49"/>
    <mergeCell ref="C50:H50"/>
    <mergeCell ref="C51:J51"/>
    <mergeCell ref="AG55:AH55"/>
    <mergeCell ref="BY58:BY68"/>
    <mergeCell ref="BO62:BO64"/>
    <mergeCell ref="K35:M35"/>
    <mergeCell ref="AG34:AZ34"/>
    <mergeCell ref="C48:H48"/>
    <mergeCell ref="B36:M36"/>
    <mergeCell ref="B37:M38"/>
    <mergeCell ref="AG38:AH38"/>
    <mergeCell ref="B39:M40"/>
    <mergeCell ref="B43:M43"/>
    <mergeCell ref="B45:H45"/>
    <mergeCell ref="C46:H46"/>
    <mergeCell ref="C47:H47"/>
    <mergeCell ref="BA40:BA41"/>
    <mergeCell ref="BB40:BG42"/>
    <mergeCell ref="B41:M41"/>
    <mergeCell ref="AW41:AX41"/>
    <mergeCell ref="B42:M42"/>
    <mergeCell ref="AT42:AT43"/>
    <mergeCell ref="AU42:AZ43"/>
    <mergeCell ref="B31:M32"/>
    <mergeCell ref="BH31:BN31"/>
    <mergeCell ref="BO31:BO32"/>
    <mergeCell ref="B33:M33"/>
    <mergeCell ref="B34:M34"/>
    <mergeCell ref="BO29:BO30"/>
    <mergeCell ref="B30:M30"/>
    <mergeCell ref="BH19:BH20"/>
    <mergeCell ref="BI19:BM20"/>
    <mergeCell ref="B20:C20"/>
    <mergeCell ref="AB20:AC20"/>
    <mergeCell ref="D21:AA21"/>
    <mergeCell ref="AB21:AC24"/>
    <mergeCell ref="BH21:BH22"/>
    <mergeCell ref="BI21:BM22"/>
    <mergeCell ref="BH23:BH24"/>
    <mergeCell ref="BI23:BM24"/>
    <mergeCell ref="AG24:AV24"/>
    <mergeCell ref="AW24:AX24"/>
    <mergeCell ref="AG25:AV25"/>
    <mergeCell ref="AW25:AX25"/>
    <mergeCell ref="BH17:BH18"/>
    <mergeCell ref="BI17:BM18"/>
    <mergeCell ref="EP3:EQ3"/>
    <mergeCell ref="BI4:BK4"/>
    <mergeCell ref="BH5:BH6"/>
    <mergeCell ref="BI5:BM6"/>
    <mergeCell ref="BH7:BH8"/>
    <mergeCell ref="BI7:BM8"/>
    <mergeCell ref="BH9:BH10"/>
    <mergeCell ref="BI9:BM10"/>
    <mergeCell ref="BH11:BH12"/>
    <mergeCell ref="BI11:BM12"/>
    <mergeCell ref="BH13:BH14"/>
    <mergeCell ref="BI13:BM14"/>
    <mergeCell ref="BH15:BH16"/>
    <mergeCell ref="BI15:BM16"/>
    <mergeCell ref="EJ1:EL1"/>
    <mergeCell ref="AE2:AI2"/>
    <mergeCell ref="DY2:DZ2"/>
    <mergeCell ref="EC2:EE2"/>
    <mergeCell ref="BH3:BM3"/>
    <mergeCell ref="AE1:AX1"/>
    <mergeCell ref="BP1:BT1"/>
    <mergeCell ref="BU1:CD1"/>
    <mergeCell ref="DC1:DD1"/>
    <mergeCell ref="DV1:DX2"/>
    <mergeCell ref="EC1:EH1"/>
  </mergeCells>
  <pageMargins left="0.7" right="0.7" top="0.75" bottom="0" header="0.3" footer="0.3"/>
  <pageSetup scale="34" orientation="portrait" r:id="rId3"/>
  <colBreaks count="1" manualBreakCount="1">
    <brk id="67" max="1048575" man="1"/>
  </colBreak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sheetPr>
  <dimension ref="B1:AO512"/>
  <sheetViews>
    <sheetView topLeftCell="A68" zoomScale="80" zoomScaleNormal="80" workbookViewId="0">
      <selection activeCell="B30" sqref="B30"/>
    </sheetView>
  </sheetViews>
  <sheetFormatPr defaultRowHeight="12.5" x14ac:dyDescent="0.25"/>
  <cols>
    <col min="1" max="1" width="1.54296875" customWidth="1"/>
    <col min="2" max="2" width="80.81640625" customWidth="1"/>
    <col min="3" max="3" width="11.81640625" style="150" customWidth="1"/>
    <col min="4" max="4" width="12.54296875" style="149" customWidth="1"/>
    <col min="5" max="5" width="12.54296875" customWidth="1"/>
    <col min="6" max="6" width="9.1796875" style="150"/>
    <col min="7" max="7" width="12.453125" bestFit="1" customWidth="1"/>
    <col min="8" max="8" width="12.54296875" style="150" customWidth="1"/>
    <col min="9" max="9" width="12.54296875" customWidth="1"/>
    <col min="10" max="10" width="11.54296875" style="331" customWidth="1"/>
    <col min="26" max="26" width="12.81640625" customWidth="1"/>
    <col min="30" max="30" width="13.54296875" customWidth="1"/>
    <col min="31" max="31" width="11.1796875" customWidth="1"/>
    <col min="32" max="32" width="17.81640625" bestFit="1" customWidth="1"/>
    <col min="33" max="33" width="18.453125" bestFit="1" customWidth="1"/>
    <col min="34" max="35" width="29.54296875" bestFit="1" customWidth="1"/>
  </cols>
  <sheetData>
    <row r="1" spans="2:41" ht="13" x14ac:dyDescent="0.3">
      <c r="B1" s="295"/>
      <c r="C1" s="174" t="s">
        <v>47</v>
      </c>
      <c r="D1" s="175"/>
      <c r="E1" s="127"/>
      <c r="F1" s="127"/>
      <c r="G1" s="127"/>
      <c r="H1" s="127"/>
      <c r="I1" s="127"/>
      <c r="J1" s="324"/>
      <c r="K1" s="127"/>
      <c r="L1" s="127"/>
      <c r="M1" s="192" t="s">
        <v>283</v>
      </c>
      <c r="N1" s="127"/>
      <c r="O1" s="127"/>
      <c r="P1" s="127"/>
      <c r="Q1" s="127"/>
      <c r="R1" s="127"/>
      <c r="S1" s="127"/>
      <c r="T1" s="127"/>
      <c r="U1" s="127"/>
      <c r="V1" s="127"/>
      <c r="W1" s="127"/>
      <c r="X1" s="127"/>
      <c r="Y1" s="127"/>
      <c r="Z1" s="127"/>
      <c r="AA1" s="127"/>
      <c r="AB1" s="127"/>
      <c r="AM1" s="127"/>
      <c r="AN1" s="127"/>
      <c r="AO1" s="127"/>
    </row>
    <row r="2" spans="2:41" ht="13" x14ac:dyDescent="0.3">
      <c r="B2" s="127"/>
      <c r="C2" s="176" t="s">
        <v>48</v>
      </c>
      <c r="D2" s="174"/>
      <c r="E2" s="127"/>
      <c r="F2" s="127"/>
      <c r="G2" s="127"/>
      <c r="H2" s="127"/>
      <c r="I2" s="177" t="s">
        <v>49</v>
      </c>
      <c r="J2" s="324" t="s">
        <v>50</v>
      </c>
      <c r="K2" s="127"/>
      <c r="L2" s="127"/>
      <c r="M2" s="127">
        <v>2000</v>
      </c>
      <c r="N2" s="127" t="s">
        <v>284</v>
      </c>
      <c r="O2" s="127"/>
      <c r="P2" s="127"/>
      <c r="Q2" s="127"/>
      <c r="R2" s="127"/>
      <c r="S2" s="127"/>
      <c r="T2" s="127"/>
      <c r="U2" s="127"/>
      <c r="V2" s="127"/>
      <c r="W2" s="127"/>
      <c r="X2" s="127"/>
      <c r="Y2" s="127"/>
      <c r="Z2" s="127"/>
      <c r="AA2" s="127"/>
      <c r="AB2" s="127"/>
      <c r="AM2" s="127"/>
      <c r="AN2" s="127"/>
      <c r="AO2" s="127"/>
    </row>
    <row r="3" spans="2:41" ht="13" x14ac:dyDescent="0.3">
      <c r="B3" s="127"/>
      <c r="C3" s="176" t="s">
        <v>51</v>
      </c>
      <c r="D3" s="174"/>
      <c r="E3" s="127"/>
      <c r="F3" s="127"/>
      <c r="G3" s="127"/>
      <c r="H3" s="127"/>
      <c r="I3" s="127"/>
      <c r="J3" s="324"/>
      <c r="K3" s="127"/>
      <c r="L3" s="127"/>
      <c r="M3" s="127">
        <v>4500</v>
      </c>
      <c r="N3" s="127" t="s">
        <v>285</v>
      </c>
      <c r="O3" s="127"/>
      <c r="P3" s="127"/>
      <c r="Q3" s="127"/>
      <c r="R3" s="127"/>
      <c r="S3" s="127"/>
      <c r="T3" s="127"/>
      <c r="U3" s="127"/>
      <c r="V3" s="127"/>
      <c r="W3" s="127"/>
      <c r="X3" s="127"/>
      <c r="Y3" s="127"/>
      <c r="Z3" s="127"/>
      <c r="AA3" s="127"/>
      <c r="AB3" s="127"/>
      <c r="AM3" s="127"/>
      <c r="AN3" s="127"/>
      <c r="AO3" s="127"/>
    </row>
    <row r="4" spans="2:41" ht="13" x14ac:dyDescent="0.3">
      <c r="B4" s="127"/>
      <c r="C4" s="179" t="s">
        <v>2</v>
      </c>
      <c r="D4" s="180" t="s">
        <v>59</v>
      </c>
      <c r="E4" s="127"/>
      <c r="F4" s="127"/>
      <c r="G4" s="127"/>
      <c r="H4" s="127"/>
      <c r="I4" s="127"/>
      <c r="J4" s="324"/>
      <c r="K4" s="127"/>
      <c r="L4" s="127"/>
      <c r="M4" s="127"/>
      <c r="N4" s="127"/>
      <c r="O4" s="127"/>
      <c r="P4" s="127"/>
      <c r="Q4" s="127"/>
      <c r="R4" s="127"/>
      <c r="S4" s="127"/>
      <c r="T4" s="127"/>
      <c r="U4" s="127"/>
      <c r="V4" s="127"/>
      <c r="W4" s="127"/>
      <c r="X4" s="127"/>
      <c r="Y4" s="127"/>
      <c r="Z4" s="127"/>
      <c r="AA4" s="127"/>
      <c r="AB4" s="127"/>
      <c r="AM4" s="127"/>
      <c r="AN4" s="127"/>
      <c r="AO4" s="127"/>
    </row>
    <row r="5" spans="2:41" ht="13" x14ac:dyDescent="0.3">
      <c r="B5" s="127"/>
      <c r="C5" s="179" t="s">
        <v>52</v>
      </c>
      <c r="D5" s="180" t="s">
        <v>62</v>
      </c>
      <c r="E5" s="127"/>
      <c r="F5" s="127"/>
      <c r="G5" s="127"/>
      <c r="H5" s="127"/>
      <c r="I5" s="127"/>
      <c r="J5" s="324"/>
      <c r="K5" s="127"/>
      <c r="L5" s="127"/>
      <c r="M5" s="127"/>
      <c r="N5" s="127"/>
      <c r="O5" s="127"/>
      <c r="P5" s="127"/>
      <c r="Q5" s="127"/>
      <c r="R5" s="127"/>
      <c r="S5" s="127"/>
      <c r="T5" s="127"/>
      <c r="U5" s="127"/>
      <c r="V5" s="127"/>
      <c r="W5" s="127"/>
      <c r="X5" s="127"/>
      <c r="Y5" s="127"/>
      <c r="Z5" s="127"/>
      <c r="AA5" s="127"/>
      <c r="AB5" s="127"/>
      <c r="AM5" s="127"/>
      <c r="AN5" s="127"/>
      <c r="AO5" s="127"/>
    </row>
    <row r="6" spans="2:41" ht="13" x14ac:dyDescent="0.3">
      <c r="B6" s="127"/>
      <c r="C6" s="179" t="s">
        <v>53</v>
      </c>
      <c r="D6" s="180" t="s">
        <v>60</v>
      </c>
      <c r="E6" s="127"/>
      <c r="F6" s="127"/>
      <c r="G6" s="127"/>
      <c r="H6" s="127"/>
      <c r="I6" s="127"/>
      <c r="J6" s="324"/>
      <c r="K6" s="127"/>
      <c r="L6" s="127"/>
      <c r="M6" s="127"/>
      <c r="N6" s="127"/>
      <c r="O6" s="127"/>
      <c r="P6" s="127"/>
      <c r="Q6" s="127"/>
      <c r="R6" s="127"/>
      <c r="S6" s="127"/>
      <c r="T6" s="127"/>
      <c r="U6" s="127"/>
      <c r="V6" s="127"/>
      <c r="W6" s="127"/>
      <c r="X6" s="127"/>
      <c r="Y6" s="127"/>
      <c r="Z6" s="127"/>
      <c r="AA6" s="127"/>
      <c r="AB6" s="127"/>
      <c r="AM6" s="127"/>
      <c r="AN6" s="127"/>
      <c r="AO6" s="127"/>
    </row>
    <row r="7" spans="2:41" ht="13" x14ac:dyDescent="0.3">
      <c r="B7" s="127"/>
      <c r="C7" s="179" t="s">
        <v>54</v>
      </c>
      <c r="D7" s="180" t="s">
        <v>61</v>
      </c>
      <c r="E7" s="127"/>
      <c r="F7" s="127"/>
      <c r="G7" s="127"/>
      <c r="H7" s="127"/>
      <c r="I7" s="127"/>
      <c r="J7" s="324"/>
      <c r="K7" s="127"/>
      <c r="L7" s="127"/>
      <c r="M7" s="127"/>
      <c r="N7" s="127"/>
      <c r="O7" s="127"/>
      <c r="P7" s="127"/>
      <c r="Q7" s="127"/>
      <c r="R7" s="127"/>
      <c r="S7" s="127"/>
      <c r="T7" s="127"/>
      <c r="U7" s="127"/>
      <c r="V7" s="127"/>
      <c r="W7" s="127"/>
      <c r="X7" s="127"/>
      <c r="Y7" s="127"/>
      <c r="Z7" s="127"/>
      <c r="AA7" s="127"/>
      <c r="AB7" s="127"/>
      <c r="AM7" s="127"/>
      <c r="AN7" s="127"/>
      <c r="AO7" s="127"/>
    </row>
    <row r="8" spans="2:41" ht="13" x14ac:dyDescent="0.3">
      <c r="B8" s="127"/>
      <c r="C8" s="179" t="s">
        <v>55</v>
      </c>
      <c r="D8" s="180" t="s">
        <v>202</v>
      </c>
      <c r="E8" s="127"/>
      <c r="F8" s="127"/>
      <c r="G8" s="127"/>
      <c r="H8" s="127"/>
      <c r="I8" s="127"/>
      <c r="J8" s="324"/>
      <c r="K8" s="127"/>
      <c r="L8" s="127"/>
      <c r="M8" s="127"/>
      <c r="N8" s="127"/>
      <c r="O8" s="127"/>
      <c r="P8" s="127"/>
      <c r="Q8" s="127"/>
      <c r="R8" s="127"/>
      <c r="S8" s="127"/>
      <c r="T8" s="127"/>
      <c r="U8" s="127"/>
      <c r="V8" s="127"/>
      <c r="W8" s="127"/>
      <c r="X8" s="127"/>
      <c r="Y8" s="127"/>
      <c r="Z8" s="127"/>
      <c r="AA8" s="127"/>
      <c r="AB8" s="127"/>
      <c r="AM8" s="127"/>
      <c r="AN8" s="127"/>
      <c r="AO8" s="127"/>
    </row>
    <row r="9" spans="2:41" ht="13" x14ac:dyDescent="0.3">
      <c r="B9" s="127"/>
      <c r="C9" s="179" t="s">
        <v>56</v>
      </c>
      <c r="D9" s="180" t="s">
        <v>64</v>
      </c>
      <c r="E9" s="127"/>
      <c r="F9" s="127"/>
      <c r="G9" s="127"/>
      <c r="H9" s="127"/>
      <c r="I9" s="127"/>
      <c r="J9" s="324"/>
      <c r="K9" s="127"/>
      <c r="L9" s="127"/>
      <c r="M9" s="127"/>
      <c r="N9" s="127"/>
      <c r="O9" s="127"/>
      <c r="P9" s="127"/>
      <c r="Q9" s="127"/>
      <c r="R9" s="127"/>
      <c r="S9" s="127"/>
      <c r="T9" s="127"/>
      <c r="U9" s="127"/>
      <c r="V9" s="127"/>
      <c r="W9" s="127"/>
      <c r="X9" s="127"/>
      <c r="Y9" s="127"/>
      <c r="Z9" s="127"/>
      <c r="AA9" s="127"/>
      <c r="AB9" s="127"/>
      <c r="AM9" s="127"/>
      <c r="AN9" s="127"/>
      <c r="AO9" s="127"/>
    </row>
    <row r="10" spans="2:41" ht="13" x14ac:dyDescent="0.3">
      <c r="B10" s="127"/>
      <c r="C10" s="179" t="s">
        <v>57</v>
      </c>
      <c r="D10" s="180" t="s">
        <v>63</v>
      </c>
      <c r="E10" s="127"/>
      <c r="F10" s="127"/>
      <c r="G10" s="127"/>
      <c r="H10" s="127"/>
      <c r="I10" s="127"/>
      <c r="J10" s="324"/>
      <c r="K10" s="127"/>
      <c r="L10" s="127"/>
      <c r="M10" s="127"/>
      <c r="N10" s="127"/>
      <c r="O10" s="127"/>
      <c r="P10" s="127"/>
      <c r="Q10" s="127"/>
      <c r="R10" s="127"/>
      <c r="S10" s="127"/>
      <c r="T10" s="127"/>
      <c r="U10" s="127"/>
      <c r="V10" s="127"/>
      <c r="W10" s="127"/>
      <c r="X10" s="127"/>
      <c r="Y10" s="127"/>
      <c r="Z10" s="127"/>
      <c r="AA10" s="127"/>
      <c r="AB10" s="127"/>
      <c r="AM10" s="127"/>
      <c r="AN10" s="127"/>
      <c r="AO10" s="127"/>
    </row>
    <row r="11" spans="2:41" ht="13" x14ac:dyDescent="0.3">
      <c r="B11" s="127"/>
      <c r="C11" s="179" t="s">
        <v>41</v>
      </c>
      <c r="D11" s="180" t="s">
        <v>65</v>
      </c>
      <c r="E11" s="127"/>
      <c r="F11" s="127"/>
      <c r="G11" s="127"/>
      <c r="H11" s="127"/>
      <c r="I11" s="127"/>
      <c r="J11" s="324"/>
      <c r="K11" s="127"/>
      <c r="L11" s="127"/>
      <c r="M11" s="127"/>
      <c r="N11" s="127"/>
      <c r="O11" s="127"/>
      <c r="P11" s="127"/>
      <c r="Q11" s="127"/>
      <c r="R11" s="127"/>
      <c r="S11" s="127"/>
      <c r="T11" s="127"/>
      <c r="U11" s="127"/>
      <c r="V11" s="127"/>
      <c r="W11" s="127"/>
      <c r="X11" s="127"/>
      <c r="Y11" s="127"/>
      <c r="Z11" s="127"/>
      <c r="AA11" s="127"/>
      <c r="AB11" s="127"/>
      <c r="AM11" s="127"/>
      <c r="AN11" s="127"/>
      <c r="AO11" s="127"/>
    </row>
    <row r="12" spans="2:41" ht="13" x14ac:dyDescent="0.3">
      <c r="B12" s="127"/>
      <c r="C12" s="179" t="s">
        <v>58</v>
      </c>
      <c r="D12" s="180" t="s">
        <v>66</v>
      </c>
      <c r="E12" s="127"/>
      <c r="F12" s="127"/>
      <c r="G12" s="127"/>
      <c r="H12" s="127"/>
      <c r="I12" s="127"/>
      <c r="J12" s="324"/>
      <c r="K12" s="127"/>
      <c r="L12" s="127"/>
      <c r="M12" s="127"/>
      <c r="N12" s="127"/>
      <c r="O12" s="127"/>
      <c r="P12" s="127"/>
      <c r="Q12" s="127"/>
      <c r="R12" s="127"/>
      <c r="S12" s="127"/>
      <c r="T12" s="127"/>
      <c r="U12" s="127"/>
      <c r="V12" s="127"/>
      <c r="W12" s="127"/>
      <c r="X12" s="127"/>
      <c r="Y12" s="127"/>
      <c r="Z12" s="127"/>
      <c r="AA12" s="127"/>
      <c r="AB12" s="127"/>
      <c r="AM12" s="127"/>
      <c r="AN12" s="127"/>
      <c r="AO12" s="127"/>
    </row>
    <row r="13" spans="2:41" ht="13" x14ac:dyDescent="0.3">
      <c r="B13" s="127"/>
      <c r="C13" s="176" t="s">
        <v>67</v>
      </c>
      <c r="D13" s="174"/>
      <c r="E13" s="127"/>
      <c r="F13" s="127"/>
      <c r="G13" s="127"/>
      <c r="H13" s="127"/>
      <c r="I13" s="127"/>
      <c r="J13" s="324"/>
      <c r="K13" s="127"/>
      <c r="L13" s="127"/>
      <c r="M13" s="127"/>
      <c r="N13" s="127"/>
      <c r="O13" s="127"/>
      <c r="P13" s="127"/>
      <c r="Q13" s="127"/>
      <c r="R13" s="127"/>
      <c r="S13" s="127"/>
      <c r="T13" s="127"/>
      <c r="U13" s="127"/>
      <c r="V13" s="127"/>
      <c r="W13" s="127"/>
      <c r="X13" s="127"/>
      <c r="Y13" s="127"/>
      <c r="Z13" s="127"/>
      <c r="AA13" s="127"/>
      <c r="AB13" s="127"/>
      <c r="AN13" s="127"/>
      <c r="AO13" s="127"/>
    </row>
    <row r="14" spans="2:41" ht="13" x14ac:dyDescent="0.3">
      <c r="B14" s="127"/>
      <c r="C14" s="176" t="s">
        <v>68</v>
      </c>
      <c r="D14" s="174"/>
      <c r="E14" s="127"/>
      <c r="F14" s="127"/>
      <c r="G14" s="127"/>
      <c r="H14" s="127"/>
      <c r="I14" s="127"/>
      <c r="J14" s="324"/>
      <c r="K14" s="127"/>
      <c r="L14" s="127"/>
      <c r="M14" s="127"/>
      <c r="N14" s="127"/>
      <c r="O14" s="127"/>
      <c r="P14" s="127"/>
      <c r="Q14" s="127"/>
      <c r="R14" s="127"/>
      <c r="S14" s="127"/>
      <c r="T14" s="127"/>
      <c r="U14" s="127"/>
      <c r="V14" s="127"/>
      <c r="W14" s="127"/>
      <c r="X14" s="127"/>
      <c r="Y14" s="127"/>
      <c r="Z14" s="127"/>
      <c r="AA14" s="127"/>
      <c r="AB14" s="127"/>
      <c r="AN14" s="127"/>
      <c r="AO14" s="127"/>
    </row>
    <row r="15" spans="2:41" x14ac:dyDescent="0.25">
      <c r="B15" s="127"/>
      <c r="C15" s="180" t="s">
        <v>70</v>
      </c>
      <c r="D15" s="175"/>
      <c r="E15" s="127"/>
      <c r="F15" s="127"/>
      <c r="G15" s="127"/>
      <c r="H15" s="127"/>
      <c r="I15" s="127"/>
      <c r="J15" s="324"/>
      <c r="K15" s="127"/>
      <c r="L15" s="127"/>
      <c r="M15" s="127"/>
      <c r="N15" s="127"/>
      <c r="O15" s="127"/>
      <c r="P15" s="127"/>
      <c r="Q15" s="127"/>
      <c r="R15" s="127"/>
      <c r="S15" s="127"/>
      <c r="T15" s="127"/>
      <c r="U15" s="127"/>
      <c r="V15" s="127"/>
      <c r="W15" s="127"/>
      <c r="X15" s="127"/>
      <c r="Y15" s="127"/>
      <c r="Z15" s="127"/>
      <c r="AA15" s="127"/>
      <c r="AB15" s="127"/>
      <c r="AN15" s="127"/>
      <c r="AO15" s="127"/>
    </row>
    <row r="16" spans="2:41" ht="13" x14ac:dyDescent="0.3">
      <c r="B16" s="127"/>
      <c r="C16" s="127" t="s">
        <v>71</v>
      </c>
      <c r="D16" s="175"/>
      <c r="E16" s="127"/>
      <c r="F16" s="127"/>
      <c r="G16" s="127"/>
      <c r="H16" s="127"/>
      <c r="I16" s="127"/>
      <c r="J16" s="324"/>
      <c r="K16" s="127"/>
      <c r="L16" s="127"/>
      <c r="M16" s="127"/>
      <c r="N16" s="127"/>
      <c r="O16" s="127"/>
      <c r="P16" s="127"/>
      <c r="Q16" s="127"/>
      <c r="R16" s="127"/>
      <c r="S16" s="127"/>
      <c r="T16" s="127"/>
      <c r="U16" s="127"/>
      <c r="V16" s="127"/>
      <c r="W16" s="127"/>
      <c r="X16" s="127"/>
      <c r="Y16" s="127"/>
      <c r="Z16" s="127"/>
      <c r="AA16" s="179"/>
      <c r="AB16" s="127"/>
      <c r="AN16" s="127"/>
      <c r="AO16" s="127"/>
    </row>
    <row r="17" spans="2:41" ht="13" x14ac:dyDescent="0.3">
      <c r="B17" s="127"/>
      <c r="C17" s="180" t="s">
        <v>74</v>
      </c>
      <c r="D17" s="175"/>
      <c r="E17" s="127"/>
      <c r="F17" s="127"/>
      <c r="G17" s="127"/>
      <c r="H17" s="182" t="s">
        <v>80</v>
      </c>
      <c r="I17" s="114">
        <v>1500</v>
      </c>
      <c r="J17" s="324" t="s">
        <v>72</v>
      </c>
      <c r="K17" s="127"/>
      <c r="L17" s="127"/>
      <c r="M17" s="127"/>
      <c r="N17" s="127"/>
      <c r="O17" s="127"/>
      <c r="P17" s="184">
        <f>I17*20/4500</f>
        <v>6.666666666666667</v>
      </c>
      <c r="Q17" s="127" t="s">
        <v>234</v>
      </c>
      <c r="R17" s="127"/>
      <c r="S17" s="127"/>
      <c r="T17" s="127"/>
      <c r="U17" s="127"/>
      <c r="V17" s="127"/>
      <c r="W17" s="127"/>
      <c r="X17" s="127"/>
      <c r="Y17" s="127"/>
      <c r="Z17" s="127"/>
      <c r="AA17" s="179"/>
      <c r="AB17" s="127"/>
      <c r="AN17" s="127"/>
      <c r="AO17" s="127"/>
    </row>
    <row r="18" spans="2:41" ht="13" x14ac:dyDescent="0.3">
      <c r="B18" s="127"/>
      <c r="C18" s="180" t="s">
        <v>69</v>
      </c>
      <c r="D18" s="175"/>
      <c r="E18" s="127"/>
      <c r="F18" s="127"/>
      <c r="G18" s="127"/>
      <c r="H18" s="127"/>
      <c r="I18" s="127"/>
      <c r="J18" s="324"/>
      <c r="K18" s="182" t="s">
        <v>73</v>
      </c>
      <c r="L18" s="127"/>
      <c r="M18" s="127"/>
      <c r="N18" s="127"/>
      <c r="O18" s="127"/>
      <c r="P18" s="127"/>
      <c r="Q18" s="127"/>
      <c r="R18" s="127"/>
      <c r="S18" s="127"/>
      <c r="T18" s="127"/>
      <c r="U18" s="127"/>
      <c r="V18" s="127"/>
      <c r="W18" s="127"/>
      <c r="X18" s="127"/>
      <c r="Y18" s="127"/>
      <c r="Z18" s="127"/>
      <c r="AA18" s="179"/>
      <c r="AB18" s="127"/>
      <c r="AN18" s="127"/>
      <c r="AO18" s="127"/>
    </row>
    <row r="19" spans="2:41" ht="13" x14ac:dyDescent="0.3">
      <c r="B19" s="127"/>
      <c r="C19" s="180" t="s">
        <v>82</v>
      </c>
      <c r="D19" s="175"/>
      <c r="E19" s="127"/>
      <c r="F19" s="127"/>
      <c r="G19" s="127"/>
      <c r="H19" s="127"/>
      <c r="I19" s="127"/>
      <c r="J19" s="324"/>
      <c r="K19" s="127"/>
      <c r="L19" s="127"/>
      <c r="M19" s="127"/>
      <c r="N19" s="127"/>
      <c r="O19" s="127"/>
      <c r="P19" s="127"/>
      <c r="Q19" s="127"/>
      <c r="R19" s="127"/>
      <c r="S19" s="127"/>
      <c r="T19" s="127"/>
      <c r="U19" s="127"/>
      <c r="V19" s="127"/>
      <c r="W19" s="127"/>
      <c r="X19" s="127"/>
      <c r="Y19" s="127"/>
      <c r="Z19" s="127"/>
      <c r="AA19" s="179"/>
      <c r="AB19" s="127"/>
      <c r="AN19" s="127"/>
      <c r="AO19" s="127"/>
    </row>
    <row r="20" spans="2:41" ht="13" customHeight="1" x14ac:dyDescent="0.3">
      <c r="C20" s="180" t="s">
        <v>75</v>
      </c>
      <c r="D20" s="175"/>
      <c r="E20" s="127"/>
      <c r="F20" s="157">
        <f>I17*35</f>
        <v>52500</v>
      </c>
      <c r="G20" s="127" t="s">
        <v>76</v>
      </c>
      <c r="H20" s="127"/>
      <c r="I20" s="127"/>
      <c r="J20" s="325">
        <f>F20/2000</f>
        <v>26.25</v>
      </c>
      <c r="K20" s="127" t="s">
        <v>77</v>
      </c>
      <c r="L20" s="127"/>
      <c r="M20" s="127"/>
      <c r="N20" s="127"/>
      <c r="O20" s="127"/>
      <c r="P20" s="127"/>
      <c r="Q20" s="127"/>
      <c r="R20" s="127"/>
      <c r="S20" s="127"/>
      <c r="T20" s="127"/>
      <c r="U20" s="127"/>
      <c r="V20" s="127"/>
      <c r="W20" s="127"/>
      <c r="X20" s="127"/>
      <c r="Y20" s="127"/>
      <c r="Z20" s="127"/>
      <c r="AA20" s="179"/>
      <c r="AB20" s="127"/>
      <c r="AN20" s="127"/>
      <c r="AO20" s="127"/>
    </row>
    <row r="21" spans="2:41" ht="13" customHeight="1" x14ac:dyDescent="0.3">
      <c r="B21" s="580" t="s">
        <v>293</v>
      </c>
      <c r="C21" s="180" t="s">
        <v>233</v>
      </c>
      <c r="D21" s="175"/>
      <c r="E21" s="127"/>
      <c r="F21" s="185"/>
      <c r="G21" s="127"/>
      <c r="H21" s="127"/>
      <c r="I21" s="127"/>
      <c r="J21" s="326"/>
      <c r="K21" s="127"/>
      <c r="L21" s="127"/>
      <c r="M21" s="127"/>
      <c r="N21" s="127"/>
      <c r="O21" s="127"/>
      <c r="P21" s="127"/>
      <c r="Q21" s="127"/>
      <c r="R21" s="127"/>
      <c r="S21" s="127"/>
      <c r="T21" s="127"/>
      <c r="U21" s="127"/>
      <c r="V21" s="127"/>
      <c r="W21" s="127"/>
      <c r="X21" s="127"/>
      <c r="Y21" s="127"/>
      <c r="Z21" s="127"/>
      <c r="AA21" s="179"/>
      <c r="AB21" s="127"/>
      <c r="AN21" s="127"/>
      <c r="AO21" s="127"/>
    </row>
    <row r="22" spans="2:41" ht="13" customHeight="1" x14ac:dyDescent="0.3">
      <c r="B22" s="580"/>
      <c r="C22" s="186" t="s">
        <v>81</v>
      </c>
      <c r="D22" s="175"/>
      <c r="E22" s="127"/>
      <c r="F22" s="185"/>
      <c r="G22" s="127"/>
      <c r="H22" s="127"/>
      <c r="I22" s="127"/>
      <c r="J22" s="326"/>
      <c r="K22" s="127"/>
      <c r="L22" s="127"/>
      <c r="M22" s="127"/>
      <c r="N22" s="127"/>
      <c r="O22" s="127"/>
      <c r="P22" s="127"/>
      <c r="Q22" s="127"/>
      <c r="R22" s="127"/>
      <c r="S22" s="127"/>
      <c r="T22" s="127"/>
      <c r="U22" s="127"/>
      <c r="V22" s="127"/>
      <c r="W22" s="127"/>
      <c r="X22" s="127"/>
      <c r="Y22" s="127"/>
      <c r="Z22" s="127"/>
      <c r="AA22" s="179"/>
      <c r="AB22" s="127"/>
      <c r="AN22" s="127"/>
      <c r="AO22" s="127"/>
    </row>
    <row r="23" spans="2:41" ht="13" customHeight="1" x14ac:dyDescent="0.3">
      <c r="B23" s="580"/>
      <c r="C23" s="174" t="s">
        <v>78</v>
      </c>
      <c r="D23" s="175"/>
      <c r="E23" s="127"/>
      <c r="F23" s="185"/>
      <c r="G23" s="127"/>
      <c r="H23" s="127"/>
      <c r="I23" s="127"/>
      <c r="J23" s="324"/>
      <c r="K23" s="127"/>
      <c r="L23" s="127"/>
      <c r="M23" s="127"/>
      <c r="N23" s="127"/>
      <c r="O23" s="127"/>
      <c r="P23" s="127"/>
      <c r="Q23" s="127"/>
      <c r="R23" s="127"/>
      <c r="S23" s="127"/>
      <c r="T23" s="127"/>
      <c r="U23" s="127"/>
      <c r="V23" s="127"/>
      <c r="W23" s="127"/>
      <c r="X23" s="127"/>
      <c r="Y23" s="127"/>
      <c r="Z23" s="127"/>
      <c r="AA23" s="179"/>
      <c r="AB23" s="127"/>
      <c r="AN23" s="127"/>
      <c r="AO23" s="127"/>
    </row>
    <row r="24" spans="2:41" ht="13" customHeight="1" x14ac:dyDescent="0.3">
      <c r="B24" s="580"/>
      <c r="C24" s="180" t="s">
        <v>79</v>
      </c>
      <c r="D24" s="175"/>
      <c r="E24" s="127"/>
      <c r="F24" s="185"/>
      <c r="G24" s="127"/>
      <c r="H24" s="127"/>
      <c r="I24" s="127"/>
      <c r="J24" s="324"/>
      <c r="K24" s="127"/>
      <c r="L24" s="127"/>
      <c r="M24" s="127"/>
      <c r="N24" s="127"/>
      <c r="O24" s="127"/>
      <c r="P24" s="127"/>
      <c r="Q24" s="127"/>
      <c r="R24" s="127"/>
      <c r="S24" s="127"/>
      <c r="T24" s="127"/>
      <c r="U24" s="127"/>
      <c r="V24" s="127"/>
      <c r="W24" s="127"/>
      <c r="X24" s="127"/>
      <c r="Y24" s="127"/>
      <c r="Z24" s="127"/>
      <c r="AA24" s="179"/>
      <c r="AB24" s="127"/>
      <c r="AN24" s="127"/>
      <c r="AO24" s="127"/>
    </row>
    <row r="25" spans="2:41" ht="13" x14ac:dyDescent="0.3">
      <c r="B25" s="580"/>
      <c r="C25" s="302" t="s">
        <v>299</v>
      </c>
      <c r="D25" s="175"/>
      <c r="E25" s="127"/>
      <c r="F25" s="185"/>
      <c r="G25" s="127"/>
      <c r="H25" s="127"/>
      <c r="I25" s="127"/>
      <c r="J25" s="324"/>
      <c r="K25" s="127"/>
      <c r="L25" s="127"/>
      <c r="M25" s="187"/>
      <c r="N25" s="127" t="s">
        <v>208</v>
      </c>
      <c r="O25" s="127"/>
      <c r="Q25" s="127"/>
      <c r="R25" s="127"/>
      <c r="S25" s="127"/>
      <c r="T25" s="127"/>
      <c r="U25" s="127"/>
      <c r="V25" s="127"/>
      <c r="W25" s="127"/>
      <c r="X25" s="127"/>
      <c r="Y25" s="127"/>
      <c r="Z25" s="127"/>
      <c r="AA25" s="179"/>
      <c r="AB25" s="127"/>
      <c r="AN25" s="127"/>
      <c r="AO25" s="127"/>
    </row>
    <row r="26" spans="2:41" ht="13" x14ac:dyDescent="0.3">
      <c r="B26" s="580"/>
      <c r="C26" s="180"/>
      <c r="D26" s="175"/>
      <c r="E26" s="127"/>
      <c r="F26" s="185"/>
      <c r="G26" s="127"/>
      <c r="H26" s="127"/>
      <c r="I26" s="127"/>
      <c r="J26" s="324"/>
      <c r="K26" s="127"/>
      <c r="L26" s="127"/>
      <c r="M26" s="187"/>
      <c r="N26" s="187"/>
      <c r="O26" s="127"/>
      <c r="P26" s="127"/>
      <c r="Q26" s="127"/>
      <c r="R26" s="127"/>
      <c r="S26" s="127"/>
      <c r="T26" s="127"/>
      <c r="U26" s="127"/>
      <c r="V26" s="127"/>
      <c r="W26" s="127"/>
      <c r="X26" s="127"/>
      <c r="Y26" s="127"/>
      <c r="Z26" s="127"/>
      <c r="AA26" s="179"/>
      <c r="AB26" s="188"/>
      <c r="AN26" s="127"/>
      <c r="AO26" s="127"/>
    </row>
    <row r="27" spans="2:41" ht="13" x14ac:dyDescent="0.3">
      <c r="B27" s="581"/>
      <c r="C27" s="189"/>
      <c r="D27" s="323"/>
      <c r="E27" s="190"/>
      <c r="F27" s="190"/>
      <c r="G27" s="190"/>
      <c r="H27" s="190"/>
      <c r="I27" s="190"/>
      <c r="J27" s="334"/>
      <c r="K27" s="190"/>
      <c r="L27" s="190"/>
      <c r="M27" s="190"/>
      <c r="N27" s="190"/>
      <c r="O27" s="190"/>
      <c r="P27" s="190"/>
      <c r="Q27" s="190"/>
      <c r="R27" s="190"/>
      <c r="S27" s="190"/>
      <c r="T27" s="190"/>
      <c r="U27" s="190"/>
      <c r="V27" s="190"/>
      <c r="W27" s="190"/>
      <c r="X27" s="190"/>
      <c r="Y27" s="190"/>
      <c r="Z27" s="190"/>
      <c r="AA27" s="189"/>
      <c r="AB27" s="190"/>
      <c r="AM27" s="127"/>
      <c r="AN27" s="127"/>
      <c r="AO27" s="127"/>
    </row>
    <row r="28" spans="2:41" ht="13" x14ac:dyDescent="0.3">
      <c r="B28" s="579" t="s">
        <v>314</v>
      </c>
      <c r="C28" s="579"/>
      <c r="D28" s="579"/>
      <c r="E28" s="579"/>
      <c r="F28" s="579"/>
      <c r="G28" s="579"/>
      <c r="H28" s="579"/>
      <c r="I28" s="579"/>
      <c r="J28" s="579"/>
      <c r="K28" s="579"/>
      <c r="L28" s="579"/>
      <c r="M28" s="579"/>
      <c r="N28" s="579"/>
      <c r="O28" s="579"/>
      <c r="P28" s="579"/>
      <c r="Q28" s="579"/>
      <c r="R28" s="579"/>
      <c r="S28" s="579"/>
      <c r="T28" s="579"/>
      <c r="U28" s="579"/>
      <c r="V28" s="579"/>
      <c r="W28" s="579"/>
      <c r="X28" s="579"/>
      <c r="Y28" s="579"/>
      <c r="Z28" s="579"/>
      <c r="AA28" s="579"/>
      <c r="AB28" s="579"/>
      <c r="AM28" s="127"/>
      <c r="AN28" s="127"/>
      <c r="AO28" s="127"/>
    </row>
    <row r="29" spans="2:41" x14ac:dyDescent="0.25">
      <c r="B29" s="335"/>
      <c r="C29" s="335"/>
      <c r="D29" s="336"/>
      <c r="E29" s="335"/>
      <c r="F29" s="335"/>
      <c r="G29" s="191"/>
      <c r="H29" s="337"/>
      <c r="I29" s="127"/>
      <c r="J29" s="324"/>
      <c r="K29" s="190"/>
      <c r="L29" s="127"/>
      <c r="M29" s="127"/>
      <c r="N29" s="127"/>
      <c r="O29" s="127"/>
      <c r="P29" s="190"/>
      <c r="Q29" s="190"/>
      <c r="R29" s="127"/>
      <c r="S29" s="127"/>
      <c r="T29" s="127"/>
      <c r="U29" s="127"/>
      <c r="V29" s="127"/>
      <c r="W29" s="127"/>
      <c r="X29" s="127"/>
      <c r="Y29" s="127"/>
      <c r="Z29" s="127"/>
      <c r="AA29" s="127"/>
      <c r="AB29" s="127"/>
      <c r="AM29" s="127"/>
      <c r="AN29" s="127"/>
      <c r="AO29" s="127"/>
    </row>
    <row r="30" spans="2:41" ht="187.5" x14ac:dyDescent="0.55000000000000004">
      <c r="B30" s="296" t="s">
        <v>235</v>
      </c>
      <c r="C30" s="194" t="s">
        <v>45</v>
      </c>
      <c r="D30" s="194" t="s">
        <v>46</v>
      </c>
      <c r="E30" s="195" t="s">
        <v>38</v>
      </c>
      <c r="F30" s="196" t="s">
        <v>39</v>
      </c>
      <c r="G30" s="197" t="s">
        <v>84</v>
      </c>
      <c r="H30" s="198" t="s">
        <v>86</v>
      </c>
      <c r="I30" s="199" t="s">
        <v>85</v>
      </c>
      <c r="J30" s="327" t="s">
        <v>40</v>
      </c>
      <c r="K30" s="127"/>
      <c r="L30" s="198" t="s">
        <v>42</v>
      </c>
      <c r="M30" s="196" t="s">
        <v>43</v>
      </c>
      <c r="N30" s="200" t="s">
        <v>87</v>
      </c>
      <c r="O30" s="127"/>
      <c r="P30" s="127"/>
      <c r="Q30" s="201"/>
      <c r="R30" s="201"/>
      <c r="S30" s="201"/>
      <c r="T30" s="201"/>
      <c r="U30" s="127"/>
      <c r="V30" s="127"/>
      <c r="W30" s="127"/>
      <c r="X30" s="127"/>
      <c r="Y30" s="127"/>
      <c r="Z30" s="127"/>
      <c r="AA30" s="127"/>
      <c r="AB30" s="127"/>
      <c r="AC30" s="127"/>
      <c r="AD30" s="127"/>
      <c r="AE30" s="127"/>
      <c r="AF30" s="344"/>
      <c r="AG30" s="127"/>
      <c r="AH30" s="127"/>
      <c r="AI30" s="127"/>
      <c r="AJ30" s="127"/>
      <c r="AL30" s="127"/>
      <c r="AM30" s="127"/>
      <c r="AN30" s="127"/>
      <c r="AO30" s="127"/>
    </row>
    <row r="31" spans="2:41" ht="12.75" customHeight="1" x14ac:dyDescent="0.3">
      <c r="B31" s="583"/>
      <c r="C31" s="114">
        <v>1</v>
      </c>
      <c r="D31" s="114"/>
      <c r="E31" s="181">
        <v>40544</v>
      </c>
      <c r="F31" s="114">
        <v>0</v>
      </c>
      <c r="G31" s="202">
        <f t="shared" ref="G31:G54" si="0">M31/20</f>
        <v>0</v>
      </c>
      <c r="H31" s="114">
        <v>8</v>
      </c>
      <c r="I31" s="203"/>
      <c r="J31" s="328">
        <v>0</v>
      </c>
      <c r="K31" s="127"/>
      <c r="L31" s="203">
        <f t="shared" ref="L31:L55" si="1">H31*$M$2</f>
        <v>16000</v>
      </c>
      <c r="M31" s="203">
        <f t="shared" ref="M31:M54" si="2">F31*$M$3</f>
        <v>0</v>
      </c>
      <c r="N31" s="205">
        <f t="shared" ref="N31:N36" si="3">J31*100</f>
        <v>0</v>
      </c>
      <c r="O31" s="127"/>
      <c r="W31" s="127"/>
      <c r="X31" s="127"/>
      <c r="Y31" s="127"/>
      <c r="Z31" s="127"/>
      <c r="AA31" s="127"/>
      <c r="AB31" s="127"/>
      <c r="AC31" s="127"/>
      <c r="AD31" s="127"/>
      <c r="AE31" s="127"/>
      <c r="AF31" s="127"/>
      <c r="AG31" s="127"/>
      <c r="AH31" s="127"/>
      <c r="AI31" s="127"/>
      <c r="AJ31" s="127"/>
      <c r="AL31" s="127"/>
      <c r="AM31" s="127"/>
      <c r="AN31" s="127"/>
      <c r="AO31" s="127"/>
    </row>
    <row r="32" spans="2:41" ht="12.75" customHeight="1" x14ac:dyDescent="0.3">
      <c r="B32" s="583"/>
      <c r="C32" s="114">
        <v>1</v>
      </c>
      <c r="D32" s="114"/>
      <c r="E32" s="181">
        <v>40558</v>
      </c>
      <c r="F32" s="114">
        <v>0.25</v>
      </c>
      <c r="G32" s="202">
        <f t="shared" si="0"/>
        <v>56.25</v>
      </c>
      <c r="H32" s="114">
        <v>8</v>
      </c>
      <c r="I32" s="202">
        <f t="shared" ref="I32:I54" si="4">(L32-L31)/15</f>
        <v>0</v>
      </c>
      <c r="J32" s="328">
        <v>0</v>
      </c>
      <c r="K32" s="127"/>
      <c r="L32" s="345">
        <f t="shared" si="1"/>
        <v>16000</v>
      </c>
      <c r="M32" s="203">
        <f t="shared" si="2"/>
        <v>1125</v>
      </c>
      <c r="N32" s="205">
        <f t="shared" si="3"/>
        <v>0</v>
      </c>
      <c r="O32" s="127"/>
      <c r="W32" s="127"/>
      <c r="X32" s="127"/>
      <c r="Y32" s="127"/>
      <c r="Z32" s="127"/>
      <c r="AA32" s="127"/>
      <c r="AB32" s="127"/>
      <c r="AC32" s="127"/>
      <c r="AD32" s="127"/>
      <c r="AE32" s="127"/>
      <c r="AF32" s="127"/>
      <c r="AG32" s="127"/>
      <c r="AH32" s="127"/>
      <c r="AI32" s="127"/>
      <c r="AJ32" s="127"/>
      <c r="AL32" s="127"/>
      <c r="AM32" s="127"/>
      <c r="AN32" s="127"/>
      <c r="AO32" s="127"/>
    </row>
    <row r="33" spans="2:41" ht="12.75" customHeight="1" x14ac:dyDescent="0.3">
      <c r="B33" s="583"/>
      <c r="C33" s="114">
        <v>1</v>
      </c>
      <c r="D33" s="114"/>
      <c r="E33" s="181">
        <v>40575</v>
      </c>
      <c r="F33" s="114">
        <v>0.33</v>
      </c>
      <c r="G33" s="202">
        <f t="shared" si="0"/>
        <v>74.25</v>
      </c>
      <c r="H33" s="114">
        <v>8</v>
      </c>
      <c r="I33" s="202">
        <f t="shared" si="4"/>
        <v>0</v>
      </c>
      <c r="J33" s="328">
        <v>0</v>
      </c>
      <c r="K33" s="127"/>
      <c r="L33" s="345">
        <f t="shared" si="1"/>
        <v>16000</v>
      </c>
      <c r="M33" s="203">
        <f t="shared" si="2"/>
        <v>1485</v>
      </c>
      <c r="N33" s="205">
        <f t="shared" si="3"/>
        <v>0</v>
      </c>
      <c r="O33" s="127"/>
      <c r="W33" s="127"/>
      <c r="X33" s="127"/>
      <c r="Y33" s="127"/>
      <c r="Z33" s="127"/>
      <c r="AA33" s="127"/>
      <c r="AB33" s="127"/>
      <c r="AC33" s="127"/>
      <c r="AD33" s="127"/>
      <c r="AE33" s="127"/>
      <c r="AF33" s="127"/>
      <c r="AG33" s="127"/>
      <c r="AH33" s="127"/>
      <c r="AI33" s="127"/>
      <c r="AJ33" s="127"/>
      <c r="AL33" s="127"/>
      <c r="AM33" s="127"/>
      <c r="AN33" s="127"/>
      <c r="AO33" s="127"/>
    </row>
    <row r="34" spans="2:41" ht="12.75" customHeight="1" x14ac:dyDescent="0.3">
      <c r="B34" s="583"/>
      <c r="C34" s="114">
        <v>1</v>
      </c>
      <c r="D34" s="114"/>
      <c r="E34" s="181">
        <v>40589</v>
      </c>
      <c r="F34" s="114">
        <v>0.75</v>
      </c>
      <c r="G34" s="202">
        <f t="shared" si="0"/>
        <v>168.75</v>
      </c>
      <c r="H34" s="114">
        <v>7</v>
      </c>
      <c r="I34" s="202">
        <f t="shared" si="4"/>
        <v>-133.33333333333334</v>
      </c>
      <c r="J34" s="328">
        <v>0</v>
      </c>
      <c r="K34" s="127"/>
      <c r="L34" s="345">
        <f t="shared" si="1"/>
        <v>14000</v>
      </c>
      <c r="M34" s="203">
        <f t="shared" si="2"/>
        <v>3375</v>
      </c>
      <c r="N34" s="205">
        <f t="shared" si="3"/>
        <v>0</v>
      </c>
      <c r="O34" s="127"/>
      <c r="W34" s="127"/>
      <c r="X34" s="127"/>
      <c r="Y34" s="127"/>
      <c r="Z34" s="127"/>
      <c r="AA34" s="127"/>
      <c r="AB34" s="127"/>
      <c r="AC34" s="127"/>
      <c r="AD34" s="127"/>
      <c r="AE34" s="127"/>
      <c r="AF34" s="127"/>
      <c r="AG34" s="127"/>
      <c r="AH34" s="127"/>
      <c r="AI34" s="127"/>
      <c r="AJ34" s="127"/>
      <c r="AL34" s="127"/>
      <c r="AM34" s="127"/>
      <c r="AN34" s="127"/>
      <c r="AO34" s="127"/>
    </row>
    <row r="35" spans="2:41" ht="12.75" customHeight="1" x14ac:dyDescent="0.3">
      <c r="B35" s="583"/>
      <c r="C35" s="114">
        <v>1</v>
      </c>
      <c r="D35" s="114"/>
      <c r="E35" s="181">
        <v>40603</v>
      </c>
      <c r="F35" s="114">
        <v>1</v>
      </c>
      <c r="G35" s="202">
        <f t="shared" si="0"/>
        <v>225</v>
      </c>
      <c r="H35" s="114">
        <v>7</v>
      </c>
      <c r="I35" s="202">
        <f t="shared" si="4"/>
        <v>0</v>
      </c>
      <c r="J35" s="328">
        <v>0</v>
      </c>
      <c r="K35" s="127"/>
      <c r="L35" s="345">
        <f t="shared" si="1"/>
        <v>14000</v>
      </c>
      <c r="M35" s="203">
        <f t="shared" si="2"/>
        <v>4500</v>
      </c>
      <c r="N35" s="205">
        <f t="shared" si="3"/>
        <v>0</v>
      </c>
      <c r="O35" s="127"/>
      <c r="W35" s="127"/>
      <c r="X35" s="127"/>
      <c r="Y35" s="127"/>
      <c r="Z35" s="127"/>
      <c r="AA35" s="127"/>
      <c r="AB35" s="127"/>
      <c r="AC35" s="127"/>
      <c r="AD35" s="127"/>
      <c r="AE35" s="127"/>
      <c r="AF35" s="127"/>
      <c r="AG35" s="127"/>
      <c r="AH35" s="127"/>
      <c r="AI35" s="127"/>
      <c r="AJ35" s="127"/>
      <c r="AL35" s="127"/>
      <c r="AM35" s="127"/>
      <c r="AN35" s="127"/>
      <c r="AO35" s="127"/>
    </row>
    <row r="36" spans="2:41" ht="12.75" customHeight="1" x14ac:dyDescent="0.3">
      <c r="B36" s="583"/>
      <c r="C36" s="114">
        <v>1</v>
      </c>
      <c r="D36" s="114"/>
      <c r="E36" s="181">
        <v>40617</v>
      </c>
      <c r="F36" s="114">
        <v>2</v>
      </c>
      <c r="G36" s="202">
        <f t="shared" si="0"/>
        <v>450</v>
      </c>
      <c r="H36" s="114">
        <v>6</v>
      </c>
      <c r="I36" s="202">
        <f t="shared" si="4"/>
        <v>-133.33333333333334</v>
      </c>
      <c r="J36" s="328">
        <v>0</v>
      </c>
      <c r="K36" s="127"/>
      <c r="L36" s="345">
        <f t="shared" si="1"/>
        <v>12000</v>
      </c>
      <c r="M36" s="203">
        <f t="shared" si="2"/>
        <v>9000</v>
      </c>
      <c r="N36" s="205">
        <f t="shared" si="3"/>
        <v>0</v>
      </c>
      <c r="O36" s="127"/>
      <c r="W36" s="127"/>
      <c r="X36" s="127"/>
      <c r="Y36" s="127"/>
      <c r="Z36" s="127"/>
      <c r="AA36" s="127"/>
      <c r="AB36" s="127"/>
      <c r="AC36" s="127"/>
      <c r="AD36" s="127"/>
      <c r="AE36" s="127"/>
      <c r="AF36" s="127"/>
      <c r="AG36" s="127"/>
      <c r="AH36" s="127"/>
      <c r="AI36" s="127"/>
      <c r="AJ36" s="127"/>
      <c r="AL36" s="127"/>
      <c r="AM36" s="127"/>
      <c r="AN36" s="127"/>
      <c r="AO36" s="127"/>
    </row>
    <row r="37" spans="2:41" ht="12.75" customHeight="1" x14ac:dyDescent="0.3">
      <c r="B37" s="583"/>
      <c r="C37" s="114"/>
      <c r="D37" s="114">
        <v>1</v>
      </c>
      <c r="E37" s="181">
        <v>40634</v>
      </c>
      <c r="F37" s="114">
        <v>3</v>
      </c>
      <c r="G37" s="202">
        <f t="shared" si="0"/>
        <v>675</v>
      </c>
      <c r="H37" s="114">
        <v>6</v>
      </c>
      <c r="I37" s="202">
        <f t="shared" si="4"/>
        <v>0</v>
      </c>
      <c r="J37" s="328">
        <v>0.03</v>
      </c>
      <c r="K37" s="127"/>
      <c r="L37" s="345">
        <f t="shared" si="1"/>
        <v>12000</v>
      </c>
      <c r="M37" s="203">
        <f t="shared" si="2"/>
        <v>13500</v>
      </c>
      <c r="N37" s="205">
        <v>0</v>
      </c>
      <c r="O37" s="127"/>
      <c r="W37" s="127"/>
      <c r="X37" s="127"/>
      <c r="Y37" s="127"/>
      <c r="Z37" s="127"/>
      <c r="AA37" s="127"/>
      <c r="AB37" s="127"/>
      <c r="AC37" s="127"/>
      <c r="AD37" s="127"/>
      <c r="AE37" s="127"/>
      <c r="AF37" s="127"/>
      <c r="AG37" s="127"/>
      <c r="AH37" s="127"/>
      <c r="AI37" s="127"/>
      <c r="AJ37" s="127"/>
      <c r="AL37" s="127"/>
      <c r="AM37" s="127"/>
      <c r="AN37" s="127"/>
      <c r="AO37" s="127"/>
    </row>
    <row r="38" spans="2:41" ht="12.75" customHeight="1" x14ac:dyDescent="0.3">
      <c r="B38" s="583"/>
      <c r="C38" s="114"/>
      <c r="D38" s="114">
        <v>1</v>
      </c>
      <c r="E38" s="181">
        <v>40648</v>
      </c>
      <c r="F38" s="114">
        <v>5</v>
      </c>
      <c r="G38" s="202">
        <f t="shared" si="0"/>
        <v>1125</v>
      </c>
      <c r="H38" s="114">
        <v>8</v>
      </c>
      <c r="I38" s="202">
        <f t="shared" si="4"/>
        <v>266.66666666666669</v>
      </c>
      <c r="J38" s="328">
        <v>0.06</v>
      </c>
      <c r="K38" s="127"/>
      <c r="L38" s="345">
        <f t="shared" si="1"/>
        <v>16000</v>
      </c>
      <c r="M38" s="203">
        <f t="shared" si="2"/>
        <v>22500</v>
      </c>
      <c r="N38" s="205">
        <v>0</v>
      </c>
      <c r="O38" s="127"/>
      <c r="W38" s="127"/>
      <c r="X38" s="127"/>
      <c r="Y38" s="127"/>
      <c r="Z38" s="127"/>
      <c r="AA38" s="127"/>
      <c r="AB38" s="127"/>
      <c r="AC38" s="127"/>
      <c r="AD38" s="127"/>
      <c r="AE38" s="127"/>
      <c r="AF38" s="127"/>
      <c r="AG38" s="127"/>
      <c r="AH38" s="127"/>
      <c r="AI38" s="127"/>
      <c r="AJ38" s="127"/>
      <c r="AL38" s="127"/>
      <c r="AM38" s="127"/>
      <c r="AN38" s="127"/>
      <c r="AO38" s="127"/>
    </row>
    <row r="39" spans="2:41" ht="12.75" customHeight="1" x14ac:dyDescent="0.3">
      <c r="B39" s="583"/>
      <c r="C39" s="114"/>
      <c r="D39" s="114">
        <v>1</v>
      </c>
      <c r="E39" s="181">
        <v>40664</v>
      </c>
      <c r="F39" s="114">
        <v>6</v>
      </c>
      <c r="G39" s="202">
        <f t="shared" si="0"/>
        <v>1350</v>
      </c>
      <c r="H39" s="114">
        <v>11</v>
      </c>
      <c r="I39" s="202">
        <f t="shared" si="4"/>
        <v>400</v>
      </c>
      <c r="J39" s="328">
        <v>0.06</v>
      </c>
      <c r="K39" s="127"/>
      <c r="L39" s="345">
        <f t="shared" si="1"/>
        <v>22000</v>
      </c>
      <c r="M39" s="203">
        <f t="shared" si="2"/>
        <v>27000</v>
      </c>
      <c r="N39" s="205">
        <v>5</v>
      </c>
      <c r="O39" s="127"/>
      <c r="W39" s="127"/>
      <c r="X39" s="127"/>
      <c r="Y39" s="127"/>
      <c r="Z39" s="127"/>
      <c r="AA39" s="127"/>
      <c r="AB39" s="127"/>
      <c r="AC39" s="127"/>
      <c r="AD39" s="127"/>
      <c r="AE39" s="127"/>
      <c r="AF39" s="127"/>
      <c r="AG39" s="127"/>
      <c r="AH39" s="127"/>
      <c r="AI39" s="127"/>
      <c r="AJ39" s="127"/>
      <c r="AL39" s="127"/>
      <c r="AM39" s="127"/>
      <c r="AN39" s="127"/>
      <c r="AO39" s="127"/>
    </row>
    <row r="40" spans="2:41" ht="12.75" customHeight="1" x14ac:dyDescent="0.3">
      <c r="B40" s="583"/>
      <c r="C40" s="114"/>
      <c r="D40" s="114">
        <v>1</v>
      </c>
      <c r="E40" s="181">
        <v>40678</v>
      </c>
      <c r="F40" s="114">
        <v>6.5</v>
      </c>
      <c r="G40" s="202">
        <f t="shared" si="0"/>
        <v>1462.5</v>
      </c>
      <c r="H40" s="114">
        <v>15</v>
      </c>
      <c r="I40" s="202">
        <f t="shared" si="4"/>
        <v>533.33333333333337</v>
      </c>
      <c r="J40" s="328">
        <v>0.06</v>
      </c>
      <c r="K40" s="127"/>
      <c r="L40" s="345">
        <f t="shared" si="1"/>
        <v>30000</v>
      </c>
      <c r="M40" s="203">
        <f t="shared" si="2"/>
        <v>29250</v>
      </c>
      <c r="N40" s="205">
        <v>5</v>
      </c>
      <c r="O40" s="127"/>
      <c r="W40" s="127"/>
      <c r="X40" s="127"/>
      <c r="Y40" s="127"/>
      <c r="Z40" s="127"/>
      <c r="AA40" s="127"/>
      <c r="AB40" s="127"/>
      <c r="AC40" s="127"/>
      <c r="AD40" s="127"/>
      <c r="AE40" s="127"/>
      <c r="AF40" s="127"/>
      <c r="AG40" s="127"/>
      <c r="AH40" s="127"/>
      <c r="AI40" s="127"/>
      <c r="AJ40" s="127"/>
      <c r="AL40" s="127"/>
      <c r="AM40" s="127"/>
      <c r="AN40" s="127"/>
      <c r="AO40" s="127"/>
    </row>
    <row r="41" spans="2:41" ht="12.75" customHeight="1" x14ac:dyDescent="0.3">
      <c r="B41" s="583"/>
      <c r="C41" s="114"/>
      <c r="D41" s="114">
        <v>1</v>
      </c>
      <c r="E41" s="181">
        <v>40695</v>
      </c>
      <c r="F41" s="114">
        <v>7</v>
      </c>
      <c r="G41" s="202">
        <f t="shared" si="0"/>
        <v>1575</v>
      </c>
      <c r="H41" s="114">
        <v>19</v>
      </c>
      <c r="I41" s="202">
        <f t="shared" si="4"/>
        <v>533.33333333333337</v>
      </c>
      <c r="J41" s="328">
        <v>0.05</v>
      </c>
      <c r="K41" s="127"/>
      <c r="L41" s="345">
        <f t="shared" si="1"/>
        <v>38000</v>
      </c>
      <c r="M41" s="203">
        <f t="shared" si="2"/>
        <v>31500</v>
      </c>
      <c r="N41" s="205">
        <f t="shared" ref="N41:N54" si="5">J41*100</f>
        <v>5</v>
      </c>
      <c r="O41" s="127"/>
      <c r="W41" s="127"/>
      <c r="X41" s="127"/>
      <c r="Y41" s="127"/>
      <c r="Z41" s="127"/>
      <c r="AA41" s="127"/>
      <c r="AB41" s="127"/>
      <c r="AC41" s="127"/>
      <c r="AD41" s="127"/>
      <c r="AE41" s="127"/>
      <c r="AF41" s="127"/>
      <c r="AG41" s="127"/>
      <c r="AH41" s="127"/>
      <c r="AI41" s="127"/>
      <c r="AJ41" s="127"/>
      <c r="AL41" s="127"/>
      <c r="AM41" s="127"/>
      <c r="AN41" s="127"/>
      <c r="AO41" s="127"/>
    </row>
    <row r="42" spans="2:41" ht="12.75" customHeight="1" x14ac:dyDescent="0.3">
      <c r="B42" s="583"/>
      <c r="C42" s="114"/>
      <c r="D42" s="114">
        <v>1</v>
      </c>
      <c r="E42" s="181">
        <v>40709</v>
      </c>
      <c r="F42" s="114">
        <v>6.5</v>
      </c>
      <c r="G42" s="202">
        <f t="shared" si="0"/>
        <v>1462.5</v>
      </c>
      <c r="H42" s="114">
        <v>22</v>
      </c>
      <c r="I42" s="202">
        <f t="shared" si="4"/>
        <v>400</v>
      </c>
      <c r="J42" s="328">
        <v>0.05</v>
      </c>
      <c r="K42" s="127"/>
      <c r="L42" s="345">
        <f t="shared" si="1"/>
        <v>44000</v>
      </c>
      <c r="M42" s="203">
        <f t="shared" si="2"/>
        <v>29250</v>
      </c>
      <c r="N42" s="205">
        <f t="shared" si="5"/>
        <v>5</v>
      </c>
      <c r="O42" s="127"/>
      <c r="W42" s="127"/>
      <c r="X42" s="127"/>
      <c r="Y42" s="127"/>
      <c r="Z42" s="127"/>
      <c r="AA42" s="127"/>
      <c r="AB42" s="127"/>
      <c r="AC42" s="127"/>
      <c r="AD42" s="127"/>
      <c r="AE42" s="127"/>
      <c r="AF42" s="127"/>
      <c r="AG42" s="127"/>
      <c r="AH42" s="127"/>
      <c r="AI42" s="127"/>
      <c r="AJ42" s="127"/>
      <c r="AK42" s="127"/>
      <c r="AL42" s="127"/>
      <c r="AM42" s="127"/>
      <c r="AN42" s="127"/>
      <c r="AO42" s="127"/>
    </row>
    <row r="43" spans="2:41" ht="12.75" customHeight="1" x14ac:dyDescent="0.3">
      <c r="B43" s="583"/>
      <c r="C43" s="114"/>
      <c r="D43" s="114">
        <v>1</v>
      </c>
      <c r="E43" s="181">
        <v>40725</v>
      </c>
      <c r="F43" s="114">
        <v>6</v>
      </c>
      <c r="G43" s="202">
        <f t="shared" si="0"/>
        <v>1350</v>
      </c>
      <c r="H43" s="114">
        <v>24</v>
      </c>
      <c r="I43" s="202">
        <f t="shared" si="4"/>
        <v>266.66666666666669</v>
      </c>
      <c r="J43" s="328">
        <v>0.05</v>
      </c>
      <c r="K43" s="127"/>
      <c r="L43" s="345">
        <f t="shared" si="1"/>
        <v>48000</v>
      </c>
      <c r="M43" s="203">
        <f t="shared" si="2"/>
        <v>27000</v>
      </c>
      <c r="N43" s="205">
        <f t="shared" si="5"/>
        <v>5</v>
      </c>
      <c r="O43" s="127"/>
      <c r="W43" s="127"/>
      <c r="X43" s="127"/>
      <c r="Y43" s="127"/>
      <c r="Z43" s="127"/>
      <c r="AA43" s="127"/>
      <c r="AB43" s="127"/>
      <c r="AC43" s="127"/>
      <c r="AD43" s="127"/>
      <c r="AE43" s="127"/>
      <c r="AF43" s="127"/>
      <c r="AG43" s="127"/>
      <c r="AH43" s="127"/>
      <c r="AI43" s="127"/>
      <c r="AJ43" s="127"/>
      <c r="AK43" s="127"/>
      <c r="AL43" s="127"/>
      <c r="AM43" s="127"/>
      <c r="AN43" s="127"/>
      <c r="AO43" s="127"/>
    </row>
    <row r="44" spans="2:41" ht="12.75" customHeight="1" x14ac:dyDescent="0.3">
      <c r="B44" s="583"/>
      <c r="C44" s="114"/>
      <c r="D44" s="114">
        <v>1</v>
      </c>
      <c r="E44" s="181">
        <v>40739</v>
      </c>
      <c r="F44" s="114">
        <v>5</v>
      </c>
      <c r="G44" s="202">
        <f t="shared" si="0"/>
        <v>1125</v>
      </c>
      <c r="H44" s="114">
        <v>25</v>
      </c>
      <c r="I44" s="202">
        <f t="shared" si="4"/>
        <v>133.33333333333334</v>
      </c>
      <c r="J44" s="328">
        <v>0.05</v>
      </c>
      <c r="K44" s="127"/>
      <c r="L44" s="345">
        <f t="shared" si="1"/>
        <v>50000</v>
      </c>
      <c r="M44" s="203">
        <f t="shared" si="2"/>
        <v>22500</v>
      </c>
      <c r="N44" s="205">
        <f t="shared" si="5"/>
        <v>5</v>
      </c>
      <c r="O44" s="127"/>
      <c r="W44" s="127"/>
      <c r="X44" s="127"/>
      <c r="Y44" s="127"/>
      <c r="Z44" s="127"/>
      <c r="AA44" s="127"/>
      <c r="AB44" s="127"/>
      <c r="AC44" s="127"/>
      <c r="AD44" s="127"/>
      <c r="AE44" s="127"/>
      <c r="AF44" s="127"/>
      <c r="AG44" s="127"/>
      <c r="AH44" s="127"/>
      <c r="AI44" s="127"/>
      <c r="AJ44" s="127"/>
      <c r="AK44" s="127"/>
      <c r="AL44" s="127"/>
      <c r="AM44" s="127"/>
      <c r="AN44" s="127"/>
      <c r="AO44" s="127"/>
    </row>
    <row r="45" spans="2:41" ht="12.75" customHeight="1" x14ac:dyDescent="0.3">
      <c r="B45" s="583"/>
      <c r="C45" s="114"/>
      <c r="D45" s="114">
        <v>1</v>
      </c>
      <c r="E45" s="181">
        <v>40756</v>
      </c>
      <c r="F45" s="114">
        <v>4.5</v>
      </c>
      <c r="G45" s="202">
        <f t="shared" si="0"/>
        <v>1012.5</v>
      </c>
      <c r="H45" s="114">
        <v>25</v>
      </c>
      <c r="I45" s="202">
        <f t="shared" si="4"/>
        <v>0</v>
      </c>
      <c r="J45" s="328">
        <v>0.05</v>
      </c>
      <c r="K45" s="127"/>
      <c r="L45" s="345">
        <f t="shared" si="1"/>
        <v>50000</v>
      </c>
      <c r="M45" s="203">
        <f t="shared" si="2"/>
        <v>20250</v>
      </c>
      <c r="N45" s="205">
        <f t="shared" si="5"/>
        <v>5</v>
      </c>
      <c r="O45" s="127"/>
      <c r="W45" s="127"/>
      <c r="X45" s="127"/>
      <c r="Y45" s="127"/>
      <c r="Z45" s="127"/>
      <c r="AA45" s="127"/>
      <c r="AB45" s="127"/>
      <c r="AC45" s="127"/>
      <c r="AD45" s="127"/>
      <c r="AE45" s="127"/>
      <c r="AF45" s="127"/>
      <c r="AG45" s="127"/>
      <c r="AH45" s="127"/>
      <c r="AI45" s="127"/>
      <c r="AJ45" s="127"/>
      <c r="AK45" s="127"/>
      <c r="AL45" s="127"/>
      <c r="AM45" s="127"/>
      <c r="AN45" s="127"/>
      <c r="AO45" s="127"/>
    </row>
    <row r="46" spans="2:41" ht="12.75" customHeight="1" x14ac:dyDescent="0.3">
      <c r="B46" s="583"/>
      <c r="C46" s="114"/>
      <c r="D46" s="114">
        <v>1</v>
      </c>
      <c r="E46" s="181">
        <v>40770</v>
      </c>
      <c r="F46" s="114">
        <v>4</v>
      </c>
      <c r="G46" s="202">
        <f t="shared" si="0"/>
        <v>900</v>
      </c>
      <c r="H46" s="114">
        <v>22</v>
      </c>
      <c r="I46" s="202">
        <f t="shared" si="4"/>
        <v>-400</v>
      </c>
      <c r="J46" s="328">
        <v>0.05</v>
      </c>
      <c r="K46" s="127"/>
      <c r="L46" s="345">
        <f t="shared" si="1"/>
        <v>44000</v>
      </c>
      <c r="M46" s="203">
        <f t="shared" si="2"/>
        <v>18000</v>
      </c>
      <c r="N46" s="205">
        <f t="shared" si="5"/>
        <v>5</v>
      </c>
      <c r="O46" s="127"/>
      <c r="W46" s="127"/>
      <c r="X46" s="127"/>
      <c r="Y46" s="127"/>
      <c r="Z46" s="127"/>
      <c r="AA46" s="127"/>
      <c r="AB46" s="127"/>
      <c r="AC46" s="127"/>
      <c r="AD46" s="127"/>
      <c r="AE46" s="127"/>
      <c r="AF46" s="127"/>
      <c r="AG46" s="127"/>
      <c r="AH46" s="127"/>
      <c r="AI46" s="127"/>
      <c r="AJ46" s="127"/>
      <c r="AK46" s="127"/>
      <c r="AL46" s="127"/>
      <c r="AM46" s="127"/>
      <c r="AN46" s="127"/>
      <c r="AO46" s="127"/>
    </row>
    <row r="47" spans="2:41" ht="12.75" customHeight="1" x14ac:dyDescent="0.3">
      <c r="B47" s="583"/>
      <c r="C47" s="114"/>
      <c r="D47" s="114"/>
      <c r="E47" s="181">
        <v>40787</v>
      </c>
      <c r="F47" s="114">
        <v>3.5</v>
      </c>
      <c r="G47" s="202">
        <f t="shared" si="0"/>
        <v>787.5</v>
      </c>
      <c r="H47" s="114">
        <v>19</v>
      </c>
      <c r="I47" s="202">
        <f t="shared" si="4"/>
        <v>-400</v>
      </c>
      <c r="J47" s="328">
        <v>0.02</v>
      </c>
      <c r="K47" s="127"/>
      <c r="L47" s="345">
        <f t="shared" si="1"/>
        <v>38000</v>
      </c>
      <c r="M47" s="203">
        <f t="shared" si="2"/>
        <v>15750</v>
      </c>
      <c r="N47" s="205">
        <f t="shared" si="5"/>
        <v>2</v>
      </c>
      <c r="O47" s="127"/>
      <c r="W47" s="127"/>
      <c r="X47" s="127"/>
      <c r="Y47" s="127"/>
      <c r="Z47" s="127"/>
      <c r="AA47" s="127"/>
      <c r="AB47" s="127"/>
      <c r="AC47" s="127"/>
      <c r="AD47" s="127"/>
      <c r="AE47" s="127"/>
      <c r="AF47" s="127"/>
      <c r="AG47" s="127"/>
      <c r="AH47" s="127"/>
      <c r="AI47" s="127"/>
      <c r="AJ47" s="127"/>
      <c r="AK47" s="127"/>
      <c r="AL47" s="127"/>
      <c r="AM47" s="127"/>
      <c r="AN47" s="127"/>
      <c r="AO47" s="127"/>
    </row>
    <row r="48" spans="2:41" ht="12.75" customHeight="1" x14ac:dyDescent="0.3">
      <c r="B48" s="583"/>
      <c r="C48" s="114"/>
      <c r="D48" s="114"/>
      <c r="E48" s="181">
        <v>40801</v>
      </c>
      <c r="F48" s="114">
        <v>4</v>
      </c>
      <c r="G48" s="202">
        <f t="shared" si="0"/>
        <v>900</v>
      </c>
      <c r="H48" s="114">
        <v>16</v>
      </c>
      <c r="I48" s="202">
        <f t="shared" si="4"/>
        <v>-400</v>
      </c>
      <c r="J48" s="328">
        <v>0.02</v>
      </c>
      <c r="K48" s="127"/>
      <c r="L48" s="345">
        <f t="shared" si="1"/>
        <v>32000</v>
      </c>
      <c r="M48" s="203">
        <f t="shared" si="2"/>
        <v>18000</v>
      </c>
      <c r="N48" s="205">
        <f t="shared" si="5"/>
        <v>2</v>
      </c>
      <c r="O48" s="127"/>
      <c r="W48" s="127"/>
      <c r="X48" s="127"/>
      <c r="Y48" s="127"/>
      <c r="Z48" s="127"/>
      <c r="AA48" s="127"/>
      <c r="AB48" s="127"/>
      <c r="AC48" s="127"/>
      <c r="AD48" s="127"/>
      <c r="AE48" s="127"/>
      <c r="AF48" s="127"/>
      <c r="AG48" s="127"/>
      <c r="AH48" s="127"/>
      <c r="AI48" s="127"/>
      <c r="AJ48" s="127"/>
      <c r="AK48" s="127"/>
      <c r="AL48" s="127"/>
      <c r="AM48" s="127"/>
      <c r="AN48" s="127"/>
      <c r="AO48" s="127"/>
    </row>
    <row r="49" spans="2:41" ht="12.75" customHeight="1" x14ac:dyDescent="0.3">
      <c r="B49" s="583"/>
      <c r="C49" s="114">
        <v>1</v>
      </c>
      <c r="D49" s="114"/>
      <c r="E49" s="181">
        <v>40817</v>
      </c>
      <c r="F49" s="114">
        <v>2</v>
      </c>
      <c r="G49" s="202">
        <f t="shared" si="0"/>
        <v>450</v>
      </c>
      <c r="H49" s="114">
        <v>15</v>
      </c>
      <c r="I49" s="202">
        <f t="shared" si="4"/>
        <v>-133.33333333333334</v>
      </c>
      <c r="J49" s="328">
        <v>0</v>
      </c>
      <c r="K49" s="127"/>
      <c r="L49" s="345">
        <f t="shared" si="1"/>
        <v>30000</v>
      </c>
      <c r="M49" s="203">
        <f t="shared" si="2"/>
        <v>9000</v>
      </c>
      <c r="N49" s="205">
        <f t="shared" si="5"/>
        <v>0</v>
      </c>
      <c r="O49" s="127"/>
      <c r="W49" s="127"/>
      <c r="X49" s="127"/>
      <c r="Y49" s="127"/>
      <c r="Z49" s="127"/>
      <c r="AA49" s="127"/>
      <c r="AB49" s="127"/>
      <c r="AC49" s="127"/>
      <c r="AD49" s="127"/>
      <c r="AE49" s="127"/>
      <c r="AF49" s="127"/>
      <c r="AG49" s="127"/>
      <c r="AH49" s="127"/>
      <c r="AI49" s="127"/>
      <c r="AJ49" s="127"/>
      <c r="AK49" s="127"/>
      <c r="AL49" s="127"/>
      <c r="AM49" s="127"/>
      <c r="AN49" s="127"/>
      <c r="AO49" s="127"/>
    </row>
    <row r="50" spans="2:41" ht="12.75" customHeight="1" x14ac:dyDescent="0.3">
      <c r="B50" s="583"/>
      <c r="C50" s="114">
        <v>1</v>
      </c>
      <c r="D50" s="114"/>
      <c r="E50" s="181">
        <v>40831</v>
      </c>
      <c r="F50" s="114">
        <v>0.5</v>
      </c>
      <c r="G50" s="202">
        <f t="shared" si="0"/>
        <v>112.5</v>
      </c>
      <c r="H50" s="114">
        <v>12</v>
      </c>
      <c r="I50" s="202">
        <f t="shared" si="4"/>
        <v>-400</v>
      </c>
      <c r="J50" s="328">
        <v>0</v>
      </c>
      <c r="K50" s="127"/>
      <c r="L50" s="345">
        <f t="shared" si="1"/>
        <v>24000</v>
      </c>
      <c r="M50" s="203">
        <f t="shared" si="2"/>
        <v>2250</v>
      </c>
      <c r="N50" s="205">
        <f t="shared" si="5"/>
        <v>0</v>
      </c>
      <c r="O50" s="127"/>
      <c r="W50" s="127"/>
      <c r="X50" s="127"/>
      <c r="Y50" s="127"/>
      <c r="Z50" s="127"/>
      <c r="AA50" s="127"/>
      <c r="AB50" s="127"/>
      <c r="AC50" s="127"/>
      <c r="AD50" s="127"/>
      <c r="AE50" s="127"/>
      <c r="AF50" s="127"/>
      <c r="AG50" s="127"/>
      <c r="AH50" s="127"/>
      <c r="AI50" s="127"/>
      <c r="AJ50" s="127"/>
      <c r="AK50" s="127"/>
      <c r="AL50" s="127"/>
      <c r="AM50" s="127"/>
      <c r="AN50" s="127"/>
      <c r="AO50" s="127"/>
    </row>
    <row r="51" spans="2:41" ht="12.75" customHeight="1" x14ac:dyDescent="0.3">
      <c r="B51" s="583"/>
      <c r="C51" s="114">
        <v>1</v>
      </c>
      <c r="D51" s="114"/>
      <c r="E51" s="181">
        <v>40848</v>
      </c>
      <c r="F51" s="114">
        <v>0</v>
      </c>
      <c r="G51" s="202">
        <f t="shared" si="0"/>
        <v>0</v>
      </c>
      <c r="H51" s="114">
        <v>9</v>
      </c>
      <c r="I51" s="202">
        <f t="shared" si="4"/>
        <v>-400</v>
      </c>
      <c r="J51" s="328">
        <v>0</v>
      </c>
      <c r="K51" s="127"/>
      <c r="L51" s="345">
        <f t="shared" si="1"/>
        <v>18000</v>
      </c>
      <c r="M51" s="203">
        <f t="shared" si="2"/>
        <v>0</v>
      </c>
      <c r="N51" s="205">
        <f t="shared" si="5"/>
        <v>0</v>
      </c>
      <c r="O51" s="127"/>
      <c r="W51" s="127"/>
      <c r="X51" s="127"/>
      <c r="Y51" s="127"/>
      <c r="Z51" s="127"/>
      <c r="AA51" s="127"/>
      <c r="AB51" s="127"/>
      <c r="AC51" s="127"/>
      <c r="AD51" s="127"/>
      <c r="AE51" s="127"/>
      <c r="AF51" s="127"/>
      <c r="AG51" s="127"/>
      <c r="AH51" s="127"/>
      <c r="AI51" s="127"/>
      <c r="AJ51" s="127"/>
      <c r="AK51" s="127"/>
      <c r="AL51" s="127"/>
      <c r="AM51" s="127"/>
      <c r="AN51" s="127"/>
      <c r="AO51" s="127"/>
    </row>
    <row r="52" spans="2:41" ht="12.75" customHeight="1" x14ac:dyDescent="0.3">
      <c r="B52" s="583"/>
      <c r="C52" s="114">
        <v>1</v>
      </c>
      <c r="D52" s="114"/>
      <c r="E52" s="181">
        <v>40862</v>
      </c>
      <c r="F52" s="114">
        <v>0</v>
      </c>
      <c r="G52" s="202">
        <f t="shared" si="0"/>
        <v>0</v>
      </c>
      <c r="H52" s="114">
        <v>8.5</v>
      </c>
      <c r="I52" s="202">
        <f t="shared" si="4"/>
        <v>-66.666666666666671</v>
      </c>
      <c r="J52" s="328">
        <v>0</v>
      </c>
      <c r="K52" s="127"/>
      <c r="L52" s="345">
        <f t="shared" si="1"/>
        <v>17000</v>
      </c>
      <c r="M52" s="203">
        <f t="shared" si="2"/>
        <v>0</v>
      </c>
      <c r="N52" s="205">
        <f t="shared" si="5"/>
        <v>0</v>
      </c>
      <c r="O52" s="127"/>
      <c r="W52" s="127"/>
      <c r="X52" s="127"/>
      <c r="Y52" s="127"/>
      <c r="Z52" s="127"/>
      <c r="AA52" s="127"/>
      <c r="AB52" s="127"/>
      <c r="AC52" s="127"/>
      <c r="AD52" s="127"/>
      <c r="AE52" s="127"/>
      <c r="AF52" s="127"/>
      <c r="AG52" s="127"/>
      <c r="AH52" s="127"/>
      <c r="AI52" s="127"/>
      <c r="AJ52" s="127"/>
      <c r="AK52" s="127"/>
      <c r="AL52" s="127"/>
      <c r="AM52" s="127"/>
      <c r="AN52" s="127"/>
      <c r="AO52" s="127"/>
    </row>
    <row r="53" spans="2:41" ht="12.75" customHeight="1" x14ac:dyDescent="0.3">
      <c r="B53" s="583"/>
      <c r="C53" s="114">
        <v>1</v>
      </c>
      <c r="D53" s="114"/>
      <c r="E53" s="181">
        <v>40878</v>
      </c>
      <c r="F53" s="114">
        <v>0</v>
      </c>
      <c r="G53" s="202">
        <f t="shared" si="0"/>
        <v>0</v>
      </c>
      <c r="H53" s="114">
        <v>8.25</v>
      </c>
      <c r="I53" s="202">
        <f t="shared" si="4"/>
        <v>-33.333333333333336</v>
      </c>
      <c r="J53" s="328">
        <v>0</v>
      </c>
      <c r="K53" s="127"/>
      <c r="L53" s="345">
        <f t="shared" si="1"/>
        <v>16500</v>
      </c>
      <c r="M53" s="203">
        <f t="shared" si="2"/>
        <v>0</v>
      </c>
      <c r="N53" s="205">
        <f t="shared" si="5"/>
        <v>0</v>
      </c>
      <c r="O53" s="127"/>
      <c r="W53" s="127"/>
      <c r="X53" s="127"/>
      <c r="Y53" s="127"/>
      <c r="Z53" s="127"/>
      <c r="AA53" s="127"/>
      <c r="AB53" s="127"/>
      <c r="AC53" s="127"/>
      <c r="AD53" s="127"/>
      <c r="AE53" s="127"/>
      <c r="AF53" s="127"/>
      <c r="AG53" s="127"/>
      <c r="AH53" s="127"/>
      <c r="AI53" s="127"/>
      <c r="AJ53" s="127"/>
      <c r="AK53" s="127"/>
      <c r="AL53" s="127"/>
      <c r="AM53" s="127"/>
      <c r="AN53" s="127"/>
      <c r="AO53" s="127"/>
    </row>
    <row r="54" spans="2:41" ht="12.75" customHeight="1" x14ac:dyDescent="0.3">
      <c r="B54" s="584"/>
      <c r="C54" s="114">
        <v>1</v>
      </c>
      <c r="D54" s="114"/>
      <c r="E54" s="305">
        <v>40892</v>
      </c>
      <c r="F54" s="306">
        <v>0</v>
      </c>
      <c r="G54" s="307">
        <f t="shared" si="0"/>
        <v>0</v>
      </c>
      <c r="H54" s="306">
        <v>8</v>
      </c>
      <c r="I54" s="308">
        <f t="shared" si="4"/>
        <v>-33.333333333333336</v>
      </c>
      <c r="J54" s="329">
        <v>0</v>
      </c>
      <c r="K54" s="127"/>
      <c r="L54" s="345">
        <f t="shared" si="1"/>
        <v>16000</v>
      </c>
      <c r="M54" s="309">
        <f t="shared" si="2"/>
        <v>0</v>
      </c>
      <c r="N54" s="310">
        <f t="shared" si="5"/>
        <v>0</v>
      </c>
      <c r="O54" s="127"/>
      <c r="W54" s="127"/>
      <c r="X54" s="127"/>
      <c r="Y54" s="127"/>
      <c r="Z54" s="127"/>
      <c r="AA54" s="127"/>
      <c r="AB54" s="127"/>
      <c r="AC54" s="127"/>
      <c r="AD54" s="127"/>
      <c r="AE54" s="127"/>
      <c r="AF54" s="127"/>
      <c r="AG54" s="127"/>
      <c r="AH54" s="127"/>
      <c r="AI54" s="127"/>
      <c r="AJ54" s="127"/>
      <c r="AK54" s="127"/>
      <c r="AL54" s="127"/>
      <c r="AM54" s="127"/>
      <c r="AN54" s="127"/>
      <c r="AO54" s="127"/>
    </row>
    <row r="55" spans="2:41" x14ac:dyDescent="0.25">
      <c r="B55" s="127"/>
      <c r="E55" s="311">
        <v>43100</v>
      </c>
      <c r="F55" s="297">
        <f>F31</f>
        <v>0</v>
      </c>
      <c r="G55" s="297">
        <f>G31</f>
        <v>0</v>
      </c>
      <c r="H55" s="297">
        <v>8</v>
      </c>
      <c r="I55" s="297">
        <f>I31</f>
        <v>0</v>
      </c>
      <c r="J55" s="330">
        <f>J31</f>
        <v>0</v>
      </c>
      <c r="K55" s="297"/>
      <c r="L55" s="345">
        <f t="shared" si="1"/>
        <v>16000</v>
      </c>
      <c r="M55" s="297">
        <f>M31</f>
        <v>0</v>
      </c>
      <c r="N55" s="312">
        <f>N31</f>
        <v>0</v>
      </c>
      <c r="O55" s="127"/>
      <c r="W55" s="127"/>
      <c r="X55" s="127"/>
      <c r="Y55" s="127"/>
      <c r="Z55" s="127"/>
      <c r="AA55" s="127"/>
      <c r="AB55" s="127"/>
      <c r="AC55" s="127"/>
      <c r="AD55" s="127"/>
      <c r="AE55" s="127"/>
      <c r="AF55" s="127"/>
      <c r="AG55" s="127"/>
      <c r="AH55" s="127"/>
      <c r="AI55" s="127"/>
      <c r="AJ55" s="127"/>
      <c r="AK55" s="127"/>
      <c r="AL55" s="127"/>
      <c r="AM55" s="127"/>
      <c r="AN55" s="127"/>
      <c r="AO55" s="127"/>
    </row>
    <row r="56" spans="2:41" x14ac:dyDescent="0.25">
      <c r="B56" s="127"/>
      <c r="E56" s="127"/>
      <c r="G56" s="384">
        <f>SUM(G31:G55)*15.2</f>
        <v>231978.59999999998</v>
      </c>
      <c r="H56" s="150" t="s">
        <v>336</v>
      </c>
      <c r="I56" s="127"/>
      <c r="K56" s="127"/>
      <c r="L56" s="127"/>
      <c r="M56" s="127"/>
      <c r="N56" s="127"/>
      <c r="O56" s="127"/>
      <c r="W56" s="127"/>
      <c r="X56" s="127"/>
      <c r="Y56" s="127"/>
      <c r="Z56" s="127"/>
      <c r="AA56" s="127"/>
      <c r="AB56" s="127"/>
      <c r="AC56" s="175"/>
      <c r="AD56" s="175"/>
      <c r="AE56" s="294"/>
      <c r="AF56" s="175"/>
      <c r="AG56" s="175"/>
      <c r="AH56" s="127"/>
      <c r="AI56" s="127"/>
      <c r="AJ56" s="127"/>
      <c r="AK56" s="127"/>
      <c r="AL56" s="127"/>
      <c r="AM56" s="127"/>
      <c r="AN56" s="127"/>
      <c r="AO56" s="127"/>
    </row>
    <row r="57" spans="2:41" x14ac:dyDescent="0.25">
      <c r="B57" s="127"/>
      <c r="E57" s="127"/>
      <c r="G57" s="127"/>
      <c r="I57" s="127"/>
      <c r="K57" s="127"/>
      <c r="L57" s="127"/>
      <c r="M57" s="127"/>
      <c r="N57" s="127"/>
      <c r="O57" s="127"/>
      <c r="W57" s="127"/>
      <c r="X57" s="127"/>
      <c r="Y57" s="127"/>
      <c r="Z57" s="127"/>
      <c r="AA57" s="127"/>
      <c r="AB57" s="127"/>
      <c r="AC57" s="127"/>
      <c r="AD57" s="127"/>
      <c r="AE57" s="127"/>
      <c r="AF57" s="127"/>
      <c r="AG57" s="127"/>
      <c r="AH57" s="127"/>
      <c r="AI57" s="127"/>
      <c r="AJ57" s="127"/>
      <c r="AK57" s="127"/>
      <c r="AL57" s="127"/>
      <c r="AM57" s="127"/>
      <c r="AN57" s="127"/>
      <c r="AO57" s="127"/>
    </row>
    <row r="58" spans="2:41" ht="187.5" x14ac:dyDescent="0.25">
      <c r="B58" s="193" t="s">
        <v>305</v>
      </c>
      <c r="C58" s="151" t="s">
        <v>45</v>
      </c>
      <c r="D58" s="151" t="s">
        <v>46</v>
      </c>
      <c r="E58" s="195" t="s">
        <v>38</v>
      </c>
      <c r="F58" s="154" t="s">
        <v>39</v>
      </c>
      <c r="G58" s="197" t="s">
        <v>84</v>
      </c>
      <c r="H58" s="155" t="s">
        <v>86</v>
      </c>
      <c r="I58" s="199" t="s">
        <v>85</v>
      </c>
      <c r="J58" s="332" t="s">
        <v>40</v>
      </c>
      <c r="K58" s="127"/>
      <c r="L58" s="198" t="s">
        <v>42</v>
      </c>
      <c r="M58" s="196" t="s">
        <v>43</v>
      </c>
      <c r="N58" s="200" t="s">
        <v>87</v>
      </c>
      <c r="O58" s="127"/>
      <c r="W58" s="127"/>
      <c r="X58" s="127"/>
      <c r="Y58" s="127"/>
      <c r="Z58" s="127"/>
      <c r="AA58" s="127"/>
      <c r="AB58" s="127"/>
      <c r="AC58" s="127"/>
      <c r="AD58" s="127"/>
      <c r="AE58" s="127"/>
      <c r="AF58" s="127"/>
      <c r="AG58" s="127"/>
      <c r="AH58" s="127"/>
      <c r="AI58" s="127"/>
      <c r="AJ58" s="127"/>
      <c r="AK58" s="127"/>
      <c r="AL58" s="127"/>
      <c r="AM58" s="127"/>
      <c r="AN58" s="127"/>
      <c r="AO58" s="127"/>
    </row>
    <row r="59" spans="2:41" ht="12.65" customHeight="1" x14ac:dyDescent="0.3">
      <c r="B59" s="583"/>
      <c r="C59" s="114">
        <v>1</v>
      </c>
      <c r="D59" s="114"/>
      <c r="E59" s="181">
        <v>40544</v>
      </c>
      <c r="F59" s="114"/>
      <c r="G59" s="202">
        <f>M59/20</f>
        <v>0</v>
      </c>
      <c r="H59" s="114"/>
      <c r="I59" s="203"/>
      <c r="J59" s="328">
        <v>0</v>
      </c>
      <c r="K59" s="127"/>
      <c r="L59" s="203">
        <f t="shared" ref="L59:L82" si="6">H59*$M$2</f>
        <v>0</v>
      </c>
      <c r="M59" s="203">
        <f t="shared" ref="M59:M82" si="7">F59*$M$3</f>
        <v>0</v>
      </c>
      <c r="N59" s="205">
        <f t="shared" ref="N59:N82" si="8">J59*100</f>
        <v>0</v>
      </c>
      <c r="O59" s="127"/>
      <c r="W59" s="127"/>
      <c r="X59" s="127"/>
      <c r="Y59" s="127"/>
      <c r="Z59" s="127"/>
      <c r="AA59" s="127"/>
      <c r="AB59" s="127"/>
      <c r="AC59" s="127"/>
      <c r="AD59" s="127"/>
      <c r="AE59" s="127"/>
      <c r="AF59" s="127"/>
      <c r="AG59" s="127"/>
      <c r="AH59" s="127"/>
      <c r="AI59" s="127"/>
      <c r="AJ59" s="127"/>
      <c r="AK59" s="127"/>
      <c r="AL59" s="127"/>
      <c r="AM59" s="127"/>
      <c r="AN59" s="127"/>
      <c r="AO59" s="127"/>
    </row>
    <row r="60" spans="2:41" ht="12.65" customHeight="1" x14ac:dyDescent="0.3">
      <c r="B60" s="583"/>
      <c r="C60" s="114">
        <v>1</v>
      </c>
      <c r="D60" s="114"/>
      <c r="E60" s="181">
        <v>40558</v>
      </c>
      <c r="F60" s="114"/>
      <c r="G60" s="202">
        <f t="shared" ref="G60:G82" si="9">M60/20</f>
        <v>0</v>
      </c>
      <c r="H60" s="114"/>
      <c r="I60" s="202">
        <f t="shared" ref="I60:I82" si="10">(L60-L59)/15</f>
        <v>0</v>
      </c>
      <c r="J60" s="328">
        <v>0</v>
      </c>
      <c r="K60" s="127"/>
      <c r="L60" s="203">
        <f t="shared" si="6"/>
        <v>0</v>
      </c>
      <c r="M60" s="203">
        <f t="shared" si="7"/>
        <v>0</v>
      </c>
      <c r="N60" s="205">
        <f t="shared" si="8"/>
        <v>0</v>
      </c>
      <c r="O60" s="127"/>
      <c r="W60" s="127"/>
      <c r="X60" s="127"/>
      <c r="Y60" s="127"/>
      <c r="Z60" s="127"/>
      <c r="AA60" s="127"/>
      <c r="AB60" s="127"/>
      <c r="AC60" s="127"/>
      <c r="AD60" s="127"/>
      <c r="AE60" s="127"/>
      <c r="AF60" s="127"/>
      <c r="AG60" s="127"/>
      <c r="AH60" s="127"/>
      <c r="AI60" s="127"/>
      <c r="AJ60" s="127"/>
      <c r="AK60" s="127"/>
      <c r="AL60" s="127"/>
      <c r="AM60" s="127"/>
      <c r="AN60" s="127"/>
      <c r="AO60" s="127"/>
    </row>
    <row r="61" spans="2:41" ht="12.65" customHeight="1" x14ac:dyDescent="0.3">
      <c r="B61" s="583"/>
      <c r="C61" s="114">
        <v>1</v>
      </c>
      <c r="D61" s="114"/>
      <c r="E61" s="181">
        <v>40575</v>
      </c>
      <c r="F61" s="114"/>
      <c r="G61" s="202">
        <f t="shared" si="9"/>
        <v>0</v>
      </c>
      <c r="H61" s="114"/>
      <c r="I61" s="202">
        <f t="shared" si="10"/>
        <v>0</v>
      </c>
      <c r="J61" s="328">
        <v>0</v>
      </c>
      <c r="K61" s="127"/>
      <c r="L61" s="203">
        <f t="shared" si="6"/>
        <v>0</v>
      </c>
      <c r="M61" s="203">
        <f t="shared" si="7"/>
        <v>0</v>
      </c>
      <c r="N61" s="205">
        <f t="shared" si="8"/>
        <v>0</v>
      </c>
      <c r="O61" s="127"/>
      <c r="W61" s="127"/>
      <c r="X61" s="127"/>
      <c r="Y61" s="127"/>
      <c r="Z61" s="127"/>
      <c r="AA61" s="127"/>
      <c r="AB61" s="127"/>
      <c r="AC61" s="127"/>
      <c r="AD61" s="127"/>
      <c r="AE61" s="127"/>
      <c r="AF61" s="127"/>
      <c r="AG61" s="127"/>
      <c r="AH61" s="127"/>
      <c r="AI61" s="127"/>
      <c r="AJ61" s="127"/>
      <c r="AK61" s="127"/>
      <c r="AL61" s="127"/>
      <c r="AM61" s="127"/>
      <c r="AN61" s="127"/>
      <c r="AO61" s="127"/>
    </row>
    <row r="62" spans="2:41" ht="12.65" customHeight="1" x14ac:dyDescent="0.3">
      <c r="B62" s="583"/>
      <c r="C62" s="114">
        <v>1</v>
      </c>
      <c r="D62" s="114"/>
      <c r="E62" s="181">
        <v>40589</v>
      </c>
      <c r="F62" s="114"/>
      <c r="G62" s="202">
        <f t="shared" si="9"/>
        <v>0</v>
      </c>
      <c r="H62" s="114"/>
      <c r="I62" s="202">
        <f t="shared" si="10"/>
        <v>0</v>
      </c>
      <c r="J62" s="328">
        <v>0</v>
      </c>
      <c r="K62" s="127"/>
      <c r="L62" s="203">
        <f t="shared" si="6"/>
        <v>0</v>
      </c>
      <c r="M62" s="203">
        <f t="shared" si="7"/>
        <v>0</v>
      </c>
      <c r="N62" s="205">
        <f t="shared" si="8"/>
        <v>0</v>
      </c>
      <c r="O62" s="127"/>
      <c r="W62" s="127"/>
      <c r="X62" s="127"/>
      <c r="Y62" s="127"/>
      <c r="Z62" s="127"/>
      <c r="AA62" s="127"/>
      <c r="AB62" s="127"/>
      <c r="AC62" s="127"/>
      <c r="AD62" s="127"/>
      <c r="AE62" s="127"/>
      <c r="AF62" s="127"/>
      <c r="AG62" s="127"/>
      <c r="AH62" s="127"/>
      <c r="AI62" s="127"/>
      <c r="AJ62" s="127"/>
      <c r="AK62" s="127"/>
      <c r="AL62" s="127"/>
      <c r="AM62" s="127"/>
      <c r="AN62" s="127"/>
      <c r="AO62" s="127"/>
    </row>
    <row r="63" spans="2:41" ht="12.65" customHeight="1" x14ac:dyDescent="0.3">
      <c r="B63" s="583"/>
      <c r="C63" s="114">
        <v>1</v>
      </c>
      <c r="D63" s="114"/>
      <c r="E63" s="181">
        <v>40603</v>
      </c>
      <c r="F63" s="114"/>
      <c r="G63" s="202">
        <f t="shared" si="9"/>
        <v>0</v>
      </c>
      <c r="H63" s="114"/>
      <c r="I63" s="202">
        <f t="shared" si="10"/>
        <v>0</v>
      </c>
      <c r="J63" s="328">
        <v>0</v>
      </c>
      <c r="K63" s="127"/>
      <c r="L63" s="203">
        <f t="shared" si="6"/>
        <v>0</v>
      </c>
      <c r="M63" s="203">
        <f t="shared" si="7"/>
        <v>0</v>
      </c>
      <c r="N63" s="205">
        <f t="shared" si="8"/>
        <v>0</v>
      </c>
      <c r="O63" s="127"/>
      <c r="W63" s="127"/>
      <c r="X63" s="127"/>
      <c r="Y63" s="127"/>
      <c r="Z63" s="127"/>
      <c r="AA63" s="127"/>
      <c r="AB63" s="127"/>
      <c r="AC63" s="127"/>
      <c r="AD63" s="127"/>
      <c r="AE63" s="127"/>
      <c r="AF63" s="127"/>
      <c r="AG63" s="127"/>
      <c r="AH63" s="127"/>
      <c r="AI63" s="127"/>
      <c r="AJ63" s="127"/>
      <c r="AK63" s="127"/>
      <c r="AL63" s="127"/>
      <c r="AM63" s="127"/>
      <c r="AN63" s="127"/>
      <c r="AO63" s="127"/>
    </row>
    <row r="64" spans="2:41" ht="12.65" customHeight="1" x14ac:dyDescent="0.3">
      <c r="B64" s="583"/>
      <c r="C64" s="114">
        <v>1</v>
      </c>
      <c r="D64" s="114"/>
      <c r="E64" s="181">
        <v>40617</v>
      </c>
      <c r="F64" s="114"/>
      <c r="G64" s="202">
        <f t="shared" si="9"/>
        <v>0</v>
      </c>
      <c r="H64" s="114"/>
      <c r="I64" s="202">
        <f t="shared" si="10"/>
        <v>0</v>
      </c>
      <c r="J64" s="328">
        <v>0</v>
      </c>
      <c r="K64" s="127"/>
      <c r="L64" s="203">
        <f t="shared" si="6"/>
        <v>0</v>
      </c>
      <c r="M64" s="203">
        <f t="shared" si="7"/>
        <v>0</v>
      </c>
      <c r="N64" s="205">
        <f t="shared" si="8"/>
        <v>0</v>
      </c>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row>
    <row r="65" spans="2:41" ht="12.65" customHeight="1" x14ac:dyDescent="0.3">
      <c r="B65" s="583"/>
      <c r="C65" s="114"/>
      <c r="D65" s="114">
        <v>1</v>
      </c>
      <c r="E65" s="181">
        <v>40634</v>
      </c>
      <c r="F65" s="114">
        <v>2.5</v>
      </c>
      <c r="G65" s="202">
        <f t="shared" si="9"/>
        <v>562.5</v>
      </c>
      <c r="H65" s="114">
        <v>5</v>
      </c>
      <c r="I65" s="202">
        <f t="shared" si="10"/>
        <v>666.66666666666663</v>
      </c>
      <c r="J65" s="328">
        <v>0</v>
      </c>
      <c r="K65" s="127"/>
      <c r="L65" s="203">
        <f t="shared" si="6"/>
        <v>10000</v>
      </c>
      <c r="M65" s="203">
        <f t="shared" si="7"/>
        <v>11250</v>
      </c>
      <c r="N65" s="205">
        <f t="shared" si="8"/>
        <v>0</v>
      </c>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row>
    <row r="66" spans="2:41" ht="12.65" customHeight="1" x14ac:dyDescent="0.3">
      <c r="B66" s="583"/>
      <c r="C66" s="114"/>
      <c r="D66" s="114">
        <v>1</v>
      </c>
      <c r="E66" s="181">
        <v>40648</v>
      </c>
      <c r="F66" s="114">
        <v>5</v>
      </c>
      <c r="G66" s="202">
        <f t="shared" si="9"/>
        <v>1125</v>
      </c>
      <c r="H66" s="114">
        <v>7</v>
      </c>
      <c r="I66" s="202">
        <f t="shared" si="10"/>
        <v>266.66666666666669</v>
      </c>
      <c r="J66" s="328">
        <v>0.01</v>
      </c>
      <c r="K66" s="127"/>
      <c r="L66" s="203">
        <f t="shared" si="6"/>
        <v>14000</v>
      </c>
      <c r="M66" s="203">
        <f t="shared" si="7"/>
        <v>22500</v>
      </c>
      <c r="N66" s="205">
        <f t="shared" si="8"/>
        <v>1</v>
      </c>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row>
    <row r="67" spans="2:41" ht="12.65" customHeight="1" x14ac:dyDescent="0.3">
      <c r="B67" s="583"/>
      <c r="C67" s="114"/>
      <c r="D67" s="114">
        <v>1</v>
      </c>
      <c r="E67" s="181">
        <v>40664</v>
      </c>
      <c r="F67" s="114">
        <v>7</v>
      </c>
      <c r="G67" s="202">
        <f t="shared" si="9"/>
        <v>1575</v>
      </c>
      <c r="H67" s="114">
        <v>10</v>
      </c>
      <c r="I67" s="202">
        <f t="shared" si="10"/>
        <v>400</v>
      </c>
      <c r="J67" s="328">
        <v>0.02</v>
      </c>
      <c r="K67" s="127"/>
      <c r="L67" s="203">
        <f t="shared" si="6"/>
        <v>20000</v>
      </c>
      <c r="M67" s="203">
        <f t="shared" si="7"/>
        <v>31500</v>
      </c>
      <c r="N67" s="205">
        <f t="shared" si="8"/>
        <v>2</v>
      </c>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row>
    <row r="68" spans="2:41" ht="12.65" customHeight="1" x14ac:dyDescent="0.3">
      <c r="B68" s="583"/>
      <c r="C68" s="114"/>
      <c r="D68" s="114">
        <v>1</v>
      </c>
      <c r="E68" s="181">
        <v>40678</v>
      </c>
      <c r="F68" s="114">
        <v>7</v>
      </c>
      <c r="G68" s="202">
        <f t="shared" si="9"/>
        <v>1575</v>
      </c>
      <c r="H68" s="114">
        <v>13</v>
      </c>
      <c r="I68" s="202">
        <f t="shared" si="10"/>
        <v>400</v>
      </c>
      <c r="J68" s="328">
        <v>0.03</v>
      </c>
      <c r="K68" s="127"/>
      <c r="L68" s="203">
        <f t="shared" si="6"/>
        <v>26000</v>
      </c>
      <c r="M68" s="203">
        <f t="shared" si="7"/>
        <v>31500</v>
      </c>
      <c r="N68" s="205">
        <f t="shared" si="8"/>
        <v>3</v>
      </c>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row>
    <row r="69" spans="2:41" ht="12.65" customHeight="1" x14ac:dyDescent="0.3">
      <c r="B69" s="583"/>
      <c r="C69" s="114"/>
      <c r="D69" s="114">
        <v>1</v>
      </c>
      <c r="E69" s="181">
        <v>40695</v>
      </c>
      <c r="F69" s="114">
        <v>6.5</v>
      </c>
      <c r="G69" s="202">
        <f t="shared" si="9"/>
        <v>1462.5</v>
      </c>
      <c r="H69" s="114">
        <v>16</v>
      </c>
      <c r="I69" s="202">
        <f t="shared" si="10"/>
        <v>400</v>
      </c>
      <c r="J69" s="328">
        <v>0.04</v>
      </c>
      <c r="K69" s="127"/>
      <c r="L69" s="203">
        <f t="shared" si="6"/>
        <v>32000</v>
      </c>
      <c r="M69" s="203">
        <f t="shared" si="7"/>
        <v>29250</v>
      </c>
      <c r="N69" s="205">
        <f t="shared" si="8"/>
        <v>4</v>
      </c>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row>
    <row r="70" spans="2:41" ht="12.65" customHeight="1" x14ac:dyDescent="0.3">
      <c r="B70" s="583"/>
      <c r="C70" s="114"/>
      <c r="D70" s="114">
        <v>1</v>
      </c>
      <c r="E70" s="181">
        <v>40709</v>
      </c>
      <c r="F70" s="114">
        <v>6</v>
      </c>
      <c r="G70" s="202">
        <f t="shared" si="9"/>
        <v>1350</v>
      </c>
      <c r="H70" s="114">
        <v>19</v>
      </c>
      <c r="I70" s="202">
        <f t="shared" si="10"/>
        <v>400</v>
      </c>
      <c r="J70" s="328">
        <v>0.05</v>
      </c>
      <c r="K70" s="127"/>
      <c r="L70" s="203">
        <f t="shared" si="6"/>
        <v>38000</v>
      </c>
      <c r="M70" s="203">
        <f t="shared" si="7"/>
        <v>27000</v>
      </c>
      <c r="N70" s="205">
        <f t="shared" si="8"/>
        <v>5</v>
      </c>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row>
    <row r="71" spans="2:41" ht="12.65" customHeight="1" x14ac:dyDescent="0.3">
      <c r="B71" s="583"/>
      <c r="C71" s="114"/>
      <c r="D71" s="114">
        <v>1</v>
      </c>
      <c r="E71" s="181">
        <v>40725</v>
      </c>
      <c r="F71" s="114">
        <v>5.5</v>
      </c>
      <c r="G71" s="202">
        <f t="shared" si="9"/>
        <v>1237.5</v>
      </c>
      <c r="H71" s="114">
        <v>23</v>
      </c>
      <c r="I71" s="202">
        <f t="shared" si="10"/>
        <v>533.33333333333337</v>
      </c>
      <c r="J71" s="328">
        <v>0.05</v>
      </c>
      <c r="K71" s="127"/>
      <c r="L71" s="203">
        <f t="shared" si="6"/>
        <v>46000</v>
      </c>
      <c r="M71" s="203">
        <f t="shared" si="7"/>
        <v>24750</v>
      </c>
      <c r="N71" s="205">
        <f t="shared" si="8"/>
        <v>5</v>
      </c>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row>
    <row r="72" spans="2:41" ht="12.65" customHeight="1" x14ac:dyDescent="0.3">
      <c r="B72" s="583"/>
      <c r="C72" s="114"/>
      <c r="D72" s="114">
        <v>1</v>
      </c>
      <c r="E72" s="181">
        <v>40739</v>
      </c>
      <c r="F72" s="114">
        <v>5</v>
      </c>
      <c r="G72" s="202">
        <f t="shared" si="9"/>
        <v>1125</v>
      </c>
      <c r="H72" s="114">
        <v>24</v>
      </c>
      <c r="I72" s="202">
        <f t="shared" si="10"/>
        <v>133.33333333333334</v>
      </c>
      <c r="J72" s="328">
        <v>0.02</v>
      </c>
      <c r="K72" s="127"/>
      <c r="L72" s="203">
        <f t="shared" si="6"/>
        <v>48000</v>
      </c>
      <c r="M72" s="203">
        <f t="shared" si="7"/>
        <v>22500</v>
      </c>
      <c r="N72" s="205">
        <f t="shared" si="8"/>
        <v>2</v>
      </c>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row>
    <row r="73" spans="2:41" ht="12.65" customHeight="1" x14ac:dyDescent="0.3">
      <c r="B73" s="583"/>
      <c r="C73" s="114"/>
      <c r="D73" s="114">
        <v>1</v>
      </c>
      <c r="E73" s="181">
        <v>40756</v>
      </c>
      <c r="F73" s="114">
        <v>4.5</v>
      </c>
      <c r="G73" s="202">
        <f t="shared" si="9"/>
        <v>1012.5</v>
      </c>
      <c r="H73" s="114">
        <v>23</v>
      </c>
      <c r="I73" s="202">
        <f t="shared" si="10"/>
        <v>-133.33333333333334</v>
      </c>
      <c r="J73" s="328">
        <v>0.01</v>
      </c>
      <c r="K73" s="127"/>
      <c r="L73" s="203">
        <f t="shared" si="6"/>
        <v>46000</v>
      </c>
      <c r="M73" s="203">
        <f t="shared" si="7"/>
        <v>20250</v>
      </c>
      <c r="N73" s="205">
        <f t="shared" si="8"/>
        <v>1</v>
      </c>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row>
    <row r="74" spans="2:41" ht="12.65" customHeight="1" x14ac:dyDescent="0.3">
      <c r="B74" s="583"/>
      <c r="C74" s="114"/>
      <c r="D74" s="114">
        <v>1</v>
      </c>
      <c r="E74" s="181">
        <v>40770</v>
      </c>
      <c r="F74" s="114">
        <v>4</v>
      </c>
      <c r="G74" s="202">
        <f t="shared" si="9"/>
        <v>900</v>
      </c>
      <c r="H74" s="114">
        <v>20</v>
      </c>
      <c r="I74" s="202">
        <f t="shared" si="10"/>
        <v>-400</v>
      </c>
      <c r="J74" s="328">
        <v>0.01</v>
      </c>
      <c r="K74" s="127"/>
      <c r="L74" s="203">
        <f t="shared" si="6"/>
        <v>40000</v>
      </c>
      <c r="M74" s="203">
        <f t="shared" si="7"/>
        <v>18000</v>
      </c>
      <c r="N74" s="205">
        <f t="shared" si="8"/>
        <v>1</v>
      </c>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row>
    <row r="75" spans="2:41" ht="12.65" customHeight="1" x14ac:dyDescent="0.3">
      <c r="B75" s="583"/>
      <c r="C75" s="114"/>
      <c r="D75" s="114"/>
      <c r="E75" s="181">
        <v>40787</v>
      </c>
      <c r="F75" s="114">
        <v>3.5</v>
      </c>
      <c r="G75" s="202">
        <f t="shared" si="9"/>
        <v>787.5</v>
      </c>
      <c r="H75" s="114">
        <v>14</v>
      </c>
      <c r="I75" s="202">
        <f t="shared" si="10"/>
        <v>-800</v>
      </c>
      <c r="J75" s="328">
        <v>0.01</v>
      </c>
      <c r="K75" s="127"/>
      <c r="L75" s="203">
        <f t="shared" si="6"/>
        <v>28000</v>
      </c>
      <c r="M75" s="203">
        <f t="shared" si="7"/>
        <v>15750</v>
      </c>
      <c r="N75" s="205">
        <f t="shared" si="8"/>
        <v>1</v>
      </c>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row>
    <row r="76" spans="2:41" ht="12.65" customHeight="1" x14ac:dyDescent="0.3">
      <c r="B76" s="583"/>
      <c r="C76" s="114"/>
      <c r="D76" s="114"/>
      <c r="E76" s="181">
        <v>40801</v>
      </c>
      <c r="F76" s="114">
        <v>4</v>
      </c>
      <c r="G76" s="202">
        <f t="shared" si="9"/>
        <v>900</v>
      </c>
      <c r="H76" s="114">
        <v>12</v>
      </c>
      <c r="I76" s="202">
        <f t="shared" si="10"/>
        <v>-266.66666666666669</v>
      </c>
      <c r="J76" s="328">
        <v>0.01</v>
      </c>
      <c r="K76" s="127"/>
      <c r="L76" s="203">
        <f t="shared" si="6"/>
        <v>24000</v>
      </c>
      <c r="M76" s="203">
        <f t="shared" si="7"/>
        <v>18000</v>
      </c>
      <c r="N76" s="205">
        <f t="shared" si="8"/>
        <v>1</v>
      </c>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row>
    <row r="77" spans="2:41" ht="12.65" customHeight="1" x14ac:dyDescent="0.3">
      <c r="B77" s="583"/>
      <c r="C77" s="114">
        <v>1</v>
      </c>
      <c r="D77" s="114"/>
      <c r="E77" s="181">
        <v>40817</v>
      </c>
      <c r="F77" s="114">
        <v>3</v>
      </c>
      <c r="G77" s="202">
        <f t="shared" si="9"/>
        <v>675</v>
      </c>
      <c r="H77" s="114">
        <v>10</v>
      </c>
      <c r="I77" s="202">
        <f t="shared" si="10"/>
        <v>-266.66666666666669</v>
      </c>
      <c r="J77" s="328">
        <v>0</v>
      </c>
      <c r="K77" s="127"/>
      <c r="L77" s="203">
        <f t="shared" si="6"/>
        <v>20000</v>
      </c>
      <c r="M77" s="203">
        <f t="shared" si="7"/>
        <v>13500</v>
      </c>
      <c r="N77" s="205">
        <f t="shared" si="8"/>
        <v>0</v>
      </c>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row>
    <row r="78" spans="2:41" ht="12.65" customHeight="1" x14ac:dyDescent="0.3">
      <c r="B78" s="583"/>
      <c r="C78" s="114">
        <v>1</v>
      </c>
      <c r="D78" s="114"/>
      <c r="E78" s="181">
        <v>40831</v>
      </c>
      <c r="F78" s="114">
        <v>2</v>
      </c>
      <c r="G78" s="202">
        <f t="shared" si="9"/>
        <v>450</v>
      </c>
      <c r="H78" s="114">
        <v>9</v>
      </c>
      <c r="I78" s="202">
        <f t="shared" si="10"/>
        <v>-133.33333333333334</v>
      </c>
      <c r="J78" s="328">
        <v>0</v>
      </c>
      <c r="K78" s="127"/>
      <c r="L78" s="203">
        <f t="shared" si="6"/>
        <v>18000</v>
      </c>
      <c r="M78" s="203">
        <f t="shared" si="7"/>
        <v>9000</v>
      </c>
      <c r="N78" s="205">
        <f t="shared" si="8"/>
        <v>0</v>
      </c>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row>
    <row r="79" spans="2:41" ht="12.65" customHeight="1" x14ac:dyDescent="0.3">
      <c r="B79" s="583"/>
      <c r="C79" s="114">
        <v>1</v>
      </c>
      <c r="D79" s="114"/>
      <c r="E79" s="181">
        <v>40848</v>
      </c>
      <c r="F79" s="114">
        <v>1</v>
      </c>
      <c r="G79" s="202">
        <f t="shared" si="9"/>
        <v>225</v>
      </c>
      <c r="H79" s="114">
        <v>8</v>
      </c>
      <c r="I79" s="202">
        <f t="shared" si="10"/>
        <v>-133.33333333333334</v>
      </c>
      <c r="J79" s="328">
        <v>0</v>
      </c>
      <c r="K79" s="127"/>
      <c r="L79" s="203">
        <f t="shared" si="6"/>
        <v>16000</v>
      </c>
      <c r="M79" s="203">
        <f t="shared" si="7"/>
        <v>4500</v>
      </c>
      <c r="N79" s="205">
        <f t="shared" si="8"/>
        <v>0</v>
      </c>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row>
    <row r="80" spans="2:41" ht="12.65" customHeight="1" x14ac:dyDescent="0.3">
      <c r="B80" s="583"/>
      <c r="C80" s="114">
        <v>1</v>
      </c>
      <c r="D80" s="114"/>
      <c r="E80" s="181">
        <v>40862</v>
      </c>
      <c r="F80" s="114">
        <v>0</v>
      </c>
      <c r="G80" s="202">
        <f t="shared" si="9"/>
        <v>0</v>
      </c>
      <c r="H80" s="114">
        <v>7</v>
      </c>
      <c r="I80" s="202">
        <f t="shared" si="10"/>
        <v>-133.33333333333334</v>
      </c>
      <c r="J80" s="328">
        <v>0</v>
      </c>
      <c r="K80" s="127"/>
      <c r="L80" s="203">
        <f t="shared" si="6"/>
        <v>14000</v>
      </c>
      <c r="M80" s="203">
        <f t="shared" si="7"/>
        <v>0</v>
      </c>
      <c r="N80" s="205">
        <f t="shared" si="8"/>
        <v>0</v>
      </c>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row>
    <row r="81" spans="2:41" ht="12.65" customHeight="1" x14ac:dyDescent="0.3">
      <c r="B81" s="583"/>
      <c r="C81" s="114">
        <v>1</v>
      </c>
      <c r="D81" s="114"/>
      <c r="E81" s="181">
        <v>40878</v>
      </c>
      <c r="F81" s="114">
        <v>0</v>
      </c>
      <c r="G81" s="202">
        <f t="shared" si="9"/>
        <v>0</v>
      </c>
      <c r="H81" s="114">
        <v>6</v>
      </c>
      <c r="I81" s="202">
        <f t="shared" si="10"/>
        <v>-133.33333333333334</v>
      </c>
      <c r="J81" s="328">
        <v>0</v>
      </c>
      <c r="K81" s="127"/>
      <c r="L81" s="203">
        <f t="shared" si="6"/>
        <v>12000</v>
      </c>
      <c r="M81" s="203">
        <f t="shared" si="7"/>
        <v>0</v>
      </c>
      <c r="N81" s="205">
        <f t="shared" si="8"/>
        <v>0</v>
      </c>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row>
    <row r="82" spans="2:41" ht="12.65" customHeight="1" x14ac:dyDescent="0.3">
      <c r="B82" s="584"/>
      <c r="C82" s="114">
        <v>1</v>
      </c>
      <c r="D82" s="114"/>
      <c r="E82" s="181">
        <v>40892</v>
      </c>
      <c r="F82" s="114">
        <v>0</v>
      </c>
      <c r="G82" s="207">
        <f t="shared" si="9"/>
        <v>0</v>
      </c>
      <c r="H82" s="114">
        <v>6</v>
      </c>
      <c r="I82" s="202">
        <f t="shared" si="10"/>
        <v>0</v>
      </c>
      <c r="J82" s="328">
        <v>0</v>
      </c>
      <c r="K82" s="127"/>
      <c r="L82" s="203">
        <f t="shared" si="6"/>
        <v>12000</v>
      </c>
      <c r="M82" s="203">
        <f t="shared" si="7"/>
        <v>0</v>
      </c>
      <c r="N82" s="205">
        <f t="shared" si="8"/>
        <v>0</v>
      </c>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row>
    <row r="83" spans="2:41" x14ac:dyDescent="0.25">
      <c r="B83" s="127"/>
      <c r="E83" s="311">
        <v>43100</v>
      </c>
      <c r="F83" s="297">
        <f>F59</f>
        <v>0</v>
      </c>
      <c r="G83" s="297">
        <f t="shared" ref="G83:N83" si="11">G59</f>
        <v>0</v>
      </c>
      <c r="H83" s="297">
        <v>6</v>
      </c>
      <c r="I83" s="297">
        <f t="shared" si="11"/>
        <v>0</v>
      </c>
      <c r="J83" s="330">
        <f t="shared" si="11"/>
        <v>0</v>
      </c>
      <c r="K83" s="297"/>
      <c r="L83" s="297">
        <f t="shared" si="11"/>
        <v>0</v>
      </c>
      <c r="M83" s="297">
        <f t="shared" si="11"/>
        <v>0</v>
      </c>
      <c r="N83" s="312">
        <f t="shared" si="11"/>
        <v>0</v>
      </c>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row>
    <row r="84" spans="2:41" x14ac:dyDescent="0.25">
      <c r="B84" s="127"/>
      <c r="E84" s="127"/>
      <c r="G84" s="127"/>
      <c r="I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row>
    <row r="85" spans="2:41" x14ac:dyDescent="0.25">
      <c r="B85" s="127"/>
      <c r="E85" s="127"/>
      <c r="G85" s="127"/>
      <c r="I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row>
    <row r="86" spans="2:41" ht="187.5" x14ac:dyDescent="0.25">
      <c r="B86" s="193" t="s">
        <v>160</v>
      </c>
      <c r="C86" s="151" t="s">
        <v>45</v>
      </c>
      <c r="D86" s="151" t="s">
        <v>46</v>
      </c>
      <c r="E86" s="195" t="s">
        <v>38</v>
      </c>
      <c r="F86" s="154" t="s">
        <v>39</v>
      </c>
      <c r="G86" s="197" t="s">
        <v>84</v>
      </c>
      <c r="H86" s="155" t="s">
        <v>86</v>
      </c>
      <c r="I86" s="199" t="s">
        <v>85</v>
      </c>
      <c r="J86" s="332" t="s">
        <v>40</v>
      </c>
      <c r="K86" s="127"/>
      <c r="L86" s="198" t="s">
        <v>42</v>
      </c>
      <c r="M86" s="196" t="s">
        <v>43</v>
      </c>
      <c r="N86" s="200" t="s">
        <v>87</v>
      </c>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row>
    <row r="87" spans="2:41" ht="13" x14ac:dyDescent="0.3">
      <c r="B87" s="583"/>
      <c r="C87" s="114">
        <v>1</v>
      </c>
      <c r="D87" s="114"/>
      <c r="E87" s="181">
        <v>40544</v>
      </c>
      <c r="F87" s="114"/>
      <c r="G87" s="202">
        <f t="shared" ref="G87:G110" si="12">M87/20</f>
        <v>0</v>
      </c>
      <c r="H87" s="114"/>
      <c r="I87" s="203"/>
      <c r="J87" s="328"/>
      <c r="K87" s="127"/>
      <c r="L87" s="203">
        <f t="shared" ref="L87:L110" si="13">H87*$M$2</f>
        <v>0</v>
      </c>
      <c r="M87" s="203">
        <f t="shared" ref="M87:M110" si="14">F87*$M$3</f>
        <v>0</v>
      </c>
      <c r="N87" s="205">
        <f t="shared" ref="N87:N110" si="15">J87*100</f>
        <v>0</v>
      </c>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row>
    <row r="88" spans="2:41" ht="13" x14ac:dyDescent="0.3">
      <c r="B88" s="583"/>
      <c r="C88" s="114">
        <v>1</v>
      </c>
      <c r="D88" s="114"/>
      <c r="E88" s="181">
        <v>40558</v>
      </c>
      <c r="F88" s="114"/>
      <c r="G88" s="202">
        <f t="shared" si="12"/>
        <v>0</v>
      </c>
      <c r="H88" s="114"/>
      <c r="I88" s="202">
        <f t="shared" ref="I88:I110" si="16">(L88-L87)/15</f>
        <v>0</v>
      </c>
      <c r="J88" s="328"/>
      <c r="K88" s="127"/>
      <c r="L88" s="203">
        <f t="shared" si="13"/>
        <v>0</v>
      </c>
      <c r="M88" s="203">
        <f t="shared" si="14"/>
        <v>0</v>
      </c>
      <c r="N88" s="205">
        <f t="shared" si="15"/>
        <v>0</v>
      </c>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row>
    <row r="89" spans="2:41" ht="13" x14ac:dyDescent="0.3">
      <c r="B89" s="583"/>
      <c r="C89" s="114">
        <v>1</v>
      </c>
      <c r="D89" s="114"/>
      <c r="E89" s="181">
        <v>40575</v>
      </c>
      <c r="F89" s="114"/>
      <c r="G89" s="202">
        <f t="shared" si="12"/>
        <v>0</v>
      </c>
      <c r="H89" s="114"/>
      <c r="I89" s="202">
        <f t="shared" si="16"/>
        <v>0</v>
      </c>
      <c r="J89" s="328"/>
      <c r="K89" s="127"/>
      <c r="L89" s="203">
        <f t="shared" si="13"/>
        <v>0</v>
      </c>
      <c r="M89" s="203">
        <f t="shared" si="14"/>
        <v>0</v>
      </c>
      <c r="N89" s="205">
        <f t="shared" si="15"/>
        <v>0</v>
      </c>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row>
    <row r="90" spans="2:41" ht="13" x14ac:dyDescent="0.3">
      <c r="B90" s="583"/>
      <c r="C90" s="114">
        <v>1</v>
      </c>
      <c r="D90" s="114"/>
      <c r="E90" s="181">
        <v>40589</v>
      </c>
      <c r="F90" s="114"/>
      <c r="G90" s="202">
        <f t="shared" si="12"/>
        <v>0</v>
      </c>
      <c r="H90" s="114"/>
      <c r="I90" s="202">
        <f t="shared" si="16"/>
        <v>0</v>
      </c>
      <c r="J90" s="328"/>
      <c r="K90" s="127"/>
      <c r="L90" s="203">
        <f t="shared" si="13"/>
        <v>0</v>
      </c>
      <c r="M90" s="203">
        <f t="shared" si="14"/>
        <v>0</v>
      </c>
      <c r="N90" s="205">
        <f t="shared" si="15"/>
        <v>0</v>
      </c>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row>
    <row r="91" spans="2:41" ht="13" x14ac:dyDescent="0.3">
      <c r="B91" s="583"/>
      <c r="C91" s="114">
        <v>1</v>
      </c>
      <c r="D91" s="114"/>
      <c r="E91" s="181">
        <v>40603</v>
      </c>
      <c r="F91" s="114"/>
      <c r="G91" s="202">
        <f t="shared" si="12"/>
        <v>0</v>
      </c>
      <c r="H91" s="114"/>
      <c r="I91" s="202">
        <f t="shared" si="16"/>
        <v>0</v>
      </c>
      <c r="J91" s="328"/>
      <c r="K91" s="127"/>
      <c r="L91" s="203">
        <f t="shared" si="13"/>
        <v>0</v>
      </c>
      <c r="M91" s="203">
        <f t="shared" si="14"/>
        <v>0</v>
      </c>
      <c r="N91" s="205">
        <f t="shared" si="15"/>
        <v>0</v>
      </c>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row>
    <row r="92" spans="2:41" ht="13" x14ac:dyDescent="0.3">
      <c r="B92" s="583"/>
      <c r="C92" s="114">
        <v>1</v>
      </c>
      <c r="D92" s="114"/>
      <c r="E92" s="181">
        <v>40617</v>
      </c>
      <c r="F92" s="114"/>
      <c r="G92" s="202">
        <f t="shared" si="12"/>
        <v>0</v>
      </c>
      <c r="H92" s="114"/>
      <c r="I92" s="202">
        <f t="shared" si="16"/>
        <v>0</v>
      </c>
      <c r="J92" s="328"/>
      <c r="K92" s="127"/>
      <c r="L92" s="203">
        <f t="shared" si="13"/>
        <v>0</v>
      </c>
      <c r="M92" s="203">
        <f t="shared" si="14"/>
        <v>0</v>
      </c>
      <c r="N92" s="205">
        <f t="shared" si="15"/>
        <v>0</v>
      </c>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row>
    <row r="93" spans="2:41" ht="13" x14ac:dyDescent="0.3">
      <c r="B93" s="583"/>
      <c r="C93" s="114"/>
      <c r="D93" s="114">
        <v>1</v>
      </c>
      <c r="E93" s="181">
        <v>40634</v>
      </c>
      <c r="F93" s="114"/>
      <c r="G93" s="202">
        <f t="shared" si="12"/>
        <v>0</v>
      </c>
      <c r="H93" s="114">
        <v>6</v>
      </c>
      <c r="I93" s="202">
        <f t="shared" si="16"/>
        <v>800</v>
      </c>
      <c r="J93" s="328"/>
      <c r="K93" s="127"/>
      <c r="L93" s="203">
        <f t="shared" si="13"/>
        <v>12000</v>
      </c>
      <c r="M93" s="203">
        <f t="shared" si="14"/>
        <v>0</v>
      </c>
      <c r="N93" s="205">
        <f t="shared" si="15"/>
        <v>0</v>
      </c>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row>
    <row r="94" spans="2:41" ht="13" x14ac:dyDescent="0.3">
      <c r="B94" s="583"/>
      <c r="C94" s="114"/>
      <c r="D94" s="114">
        <v>1</v>
      </c>
      <c r="E94" s="181">
        <v>40648</v>
      </c>
      <c r="F94" s="114">
        <v>3</v>
      </c>
      <c r="G94" s="202">
        <f t="shared" si="12"/>
        <v>675</v>
      </c>
      <c r="H94" s="114">
        <v>5</v>
      </c>
      <c r="I94" s="202">
        <f t="shared" si="16"/>
        <v>-133.33333333333334</v>
      </c>
      <c r="J94" s="328"/>
      <c r="K94" s="127"/>
      <c r="L94" s="203">
        <f t="shared" si="13"/>
        <v>10000</v>
      </c>
      <c r="M94" s="203">
        <f t="shared" si="14"/>
        <v>13500</v>
      </c>
      <c r="N94" s="205">
        <f t="shared" si="15"/>
        <v>0</v>
      </c>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row>
    <row r="95" spans="2:41" ht="13" x14ac:dyDescent="0.3">
      <c r="B95" s="583"/>
      <c r="C95" s="114"/>
      <c r="D95" s="114">
        <v>1</v>
      </c>
      <c r="E95" s="181">
        <v>40664</v>
      </c>
      <c r="F95" s="114">
        <v>4</v>
      </c>
      <c r="G95" s="202">
        <f t="shared" si="12"/>
        <v>900</v>
      </c>
      <c r="H95" s="114">
        <v>9</v>
      </c>
      <c r="I95" s="202">
        <f t="shared" si="16"/>
        <v>533.33333333333337</v>
      </c>
      <c r="J95" s="328"/>
      <c r="K95" s="127"/>
      <c r="L95" s="203">
        <f t="shared" si="13"/>
        <v>18000</v>
      </c>
      <c r="M95" s="203">
        <f t="shared" si="14"/>
        <v>18000</v>
      </c>
      <c r="N95" s="205">
        <f t="shared" si="15"/>
        <v>0</v>
      </c>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row>
    <row r="96" spans="2:41" ht="13" x14ac:dyDescent="0.3">
      <c r="B96" s="583"/>
      <c r="C96" s="114"/>
      <c r="D96" s="114">
        <v>1</v>
      </c>
      <c r="E96" s="181">
        <v>40678</v>
      </c>
      <c r="F96" s="114">
        <v>7</v>
      </c>
      <c r="G96" s="202">
        <f t="shared" si="12"/>
        <v>1575</v>
      </c>
      <c r="H96" s="114">
        <v>13</v>
      </c>
      <c r="I96" s="202">
        <f t="shared" si="16"/>
        <v>533.33333333333337</v>
      </c>
      <c r="J96" s="328">
        <v>0.05</v>
      </c>
      <c r="K96" s="127"/>
      <c r="L96" s="203">
        <f t="shared" si="13"/>
        <v>26000</v>
      </c>
      <c r="M96" s="203">
        <f t="shared" si="14"/>
        <v>31500</v>
      </c>
      <c r="N96" s="205">
        <f t="shared" si="15"/>
        <v>5</v>
      </c>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row>
    <row r="97" spans="2:41" ht="13" x14ac:dyDescent="0.3">
      <c r="B97" s="583"/>
      <c r="C97" s="114"/>
      <c r="D97" s="114">
        <v>1</v>
      </c>
      <c r="E97" s="181">
        <v>40695</v>
      </c>
      <c r="F97" s="114">
        <v>8</v>
      </c>
      <c r="G97" s="202">
        <f t="shared" si="12"/>
        <v>1800</v>
      </c>
      <c r="H97" s="114">
        <v>17</v>
      </c>
      <c r="I97" s="202">
        <f t="shared" si="16"/>
        <v>533.33333333333337</v>
      </c>
      <c r="J97" s="328">
        <v>0.05</v>
      </c>
      <c r="K97" s="127"/>
      <c r="L97" s="203">
        <f t="shared" si="13"/>
        <v>34000</v>
      </c>
      <c r="M97" s="203">
        <f t="shared" si="14"/>
        <v>36000</v>
      </c>
      <c r="N97" s="205">
        <f t="shared" si="15"/>
        <v>5</v>
      </c>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row>
    <row r="98" spans="2:41" ht="13" x14ac:dyDescent="0.3">
      <c r="B98" s="583"/>
      <c r="C98" s="114"/>
      <c r="D98" s="114">
        <v>1</v>
      </c>
      <c r="E98" s="181">
        <v>40709</v>
      </c>
      <c r="F98" s="114">
        <v>8</v>
      </c>
      <c r="G98" s="202">
        <f t="shared" si="12"/>
        <v>1800</v>
      </c>
      <c r="H98" s="114">
        <v>21</v>
      </c>
      <c r="I98" s="202">
        <f t="shared" si="16"/>
        <v>533.33333333333337</v>
      </c>
      <c r="J98" s="328">
        <v>0.05</v>
      </c>
      <c r="K98" s="127"/>
      <c r="L98" s="203">
        <f t="shared" si="13"/>
        <v>42000</v>
      </c>
      <c r="M98" s="203">
        <f t="shared" si="14"/>
        <v>36000</v>
      </c>
      <c r="N98" s="205">
        <f t="shared" si="15"/>
        <v>5</v>
      </c>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2:41" ht="13" x14ac:dyDescent="0.3">
      <c r="B99" s="583"/>
      <c r="C99" s="114"/>
      <c r="D99" s="114">
        <v>1</v>
      </c>
      <c r="E99" s="181">
        <v>40725</v>
      </c>
      <c r="F99" s="114">
        <v>8</v>
      </c>
      <c r="G99" s="202">
        <f t="shared" si="12"/>
        <v>1800</v>
      </c>
      <c r="H99" s="114">
        <v>25</v>
      </c>
      <c r="I99" s="202">
        <f t="shared" si="16"/>
        <v>533.33333333333337</v>
      </c>
      <c r="J99" s="328">
        <v>0.05</v>
      </c>
      <c r="K99" s="127"/>
      <c r="L99" s="203">
        <f t="shared" si="13"/>
        <v>50000</v>
      </c>
      <c r="M99" s="203">
        <f t="shared" si="14"/>
        <v>36000</v>
      </c>
      <c r="N99" s="205">
        <f t="shared" si="15"/>
        <v>5</v>
      </c>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row>
    <row r="100" spans="2:41" ht="13" x14ac:dyDescent="0.3">
      <c r="B100" s="583"/>
      <c r="C100" s="114"/>
      <c r="D100" s="114">
        <v>1</v>
      </c>
      <c r="E100" s="181">
        <v>40739</v>
      </c>
      <c r="F100" s="114">
        <v>5</v>
      </c>
      <c r="G100" s="202">
        <f t="shared" si="12"/>
        <v>1125</v>
      </c>
      <c r="H100" s="114">
        <v>26</v>
      </c>
      <c r="I100" s="202">
        <f t="shared" si="16"/>
        <v>133.33333333333334</v>
      </c>
      <c r="J100" s="328">
        <v>0.05</v>
      </c>
      <c r="K100" s="127"/>
      <c r="L100" s="203">
        <f t="shared" si="13"/>
        <v>52000</v>
      </c>
      <c r="M100" s="203">
        <f t="shared" si="14"/>
        <v>22500</v>
      </c>
      <c r="N100" s="205">
        <f t="shared" si="15"/>
        <v>5</v>
      </c>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row>
    <row r="101" spans="2:41" ht="13" x14ac:dyDescent="0.3">
      <c r="B101" s="583"/>
      <c r="C101" s="114"/>
      <c r="D101" s="114">
        <v>1</v>
      </c>
      <c r="E101" s="181">
        <v>40756</v>
      </c>
      <c r="F101" s="114">
        <v>4.5</v>
      </c>
      <c r="G101" s="202">
        <f t="shared" si="12"/>
        <v>1012.5</v>
      </c>
      <c r="H101" s="114">
        <v>25</v>
      </c>
      <c r="I101" s="202">
        <f t="shared" si="16"/>
        <v>-133.33333333333334</v>
      </c>
      <c r="J101" s="328">
        <v>0.05</v>
      </c>
      <c r="K101" s="127"/>
      <c r="L101" s="203">
        <f t="shared" si="13"/>
        <v>50000</v>
      </c>
      <c r="M101" s="203">
        <f t="shared" si="14"/>
        <v>20250</v>
      </c>
      <c r="N101" s="205">
        <f t="shared" si="15"/>
        <v>5</v>
      </c>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row>
    <row r="102" spans="2:41" ht="13" x14ac:dyDescent="0.3">
      <c r="B102" s="583"/>
      <c r="C102" s="114"/>
      <c r="D102" s="114">
        <v>1</v>
      </c>
      <c r="E102" s="181">
        <v>40770</v>
      </c>
      <c r="F102" s="114">
        <v>4</v>
      </c>
      <c r="G102" s="202">
        <f t="shared" si="12"/>
        <v>900</v>
      </c>
      <c r="H102" s="114">
        <v>20</v>
      </c>
      <c r="I102" s="202">
        <f t="shared" si="16"/>
        <v>-666.66666666666663</v>
      </c>
      <c r="J102" s="328">
        <v>0.05</v>
      </c>
      <c r="K102" s="127"/>
      <c r="L102" s="203">
        <f t="shared" si="13"/>
        <v>40000</v>
      </c>
      <c r="M102" s="203">
        <f t="shared" si="14"/>
        <v>18000</v>
      </c>
      <c r="N102" s="205">
        <f t="shared" si="15"/>
        <v>5</v>
      </c>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row>
    <row r="103" spans="2:41" ht="13" x14ac:dyDescent="0.3">
      <c r="B103" s="583"/>
      <c r="C103" s="114"/>
      <c r="D103" s="114"/>
      <c r="E103" s="181">
        <v>40787</v>
      </c>
      <c r="F103" s="114">
        <v>3.5</v>
      </c>
      <c r="G103" s="202">
        <f t="shared" si="12"/>
        <v>787.5</v>
      </c>
      <c r="H103" s="114">
        <v>14</v>
      </c>
      <c r="I103" s="202">
        <f t="shared" si="16"/>
        <v>-800</v>
      </c>
      <c r="J103" s="328">
        <v>0.02</v>
      </c>
      <c r="K103" s="127"/>
      <c r="L103" s="203">
        <f t="shared" si="13"/>
        <v>28000</v>
      </c>
      <c r="M103" s="203">
        <f t="shared" si="14"/>
        <v>15750</v>
      </c>
      <c r="N103" s="205">
        <f t="shared" si="15"/>
        <v>2</v>
      </c>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row>
    <row r="104" spans="2:41" ht="13" x14ac:dyDescent="0.3">
      <c r="B104" s="583"/>
      <c r="C104" s="114"/>
      <c r="D104" s="114"/>
      <c r="E104" s="181">
        <v>40801</v>
      </c>
      <c r="F104" s="114">
        <v>4</v>
      </c>
      <c r="G104" s="202">
        <f t="shared" si="12"/>
        <v>900</v>
      </c>
      <c r="H104" s="114">
        <v>12</v>
      </c>
      <c r="I104" s="202">
        <f t="shared" si="16"/>
        <v>-266.66666666666669</v>
      </c>
      <c r="J104" s="328">
        <v>0.02</v>
      </c>
      <c r="K104" s="127"/>
      <c r="L104" s="203">
        <f t="shared" si="13"/>
        <v>24000</v>
      </c>
      <c r="M104" s="203">
        <f t="shared" si="14"/>
        <v>18000</v>
      </c>
      <c r="N104" s="205">
        <f t="shared" si="15"/>
        <v>2</v>
      </c>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row>
    <row r="105" spans="2:41" ht="13" x14ac:dyDescent="0.3">
      <c r="B105" s="583"/>
      <c r="C105" s="114">
        <v>1</v>
      </c>
      <c r="D105" s="114"/>
      <c r="E105" s="181">
        <v>40817</v>
      </c>
      <c r="F105" s="114">
        <v>3</v>
      </c>
      <c r="G105" s="202">
        <f t="shared" si="12"/>
        <v>675</v>
      </c>
      <c r="H105" s="114">
        <v>10</v>
      </c>
      <c r="I105" s="202">
        <f t="shared" si="16"/>
        <v>-266.66666666666669</v>
      </c>
      <c r="J105" s="328">
        <v>0</v>
      </c>
      <c r="K105" s="127"/>
      <c r="L105" s="203">
        <f t="shared" si="13"/>
        <v>20000</v>
      </c>
      <c r="M105" s="203">
        <f t="shared" si="14"/>
        <v>13500</v>
      </c>
      <c r="N105" s="205">
        <f t="shared" si="15"/>
        <v>0</v>
      </c>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row>
    <row r="106" spans="2:41" ht="13" x14ac:dyDescent="0.3">
      <c r="B106" s="583"/>
      <c r="C106" s="114">
        <v>1</v>
      </c>
      <c r="D106" s="114"/>
      <c r="E106" s="181">
        <v>40831</v>
      </c>
      <c r="F106" s="114">
        <v>2</v>
      </c>
      <c r="G106" s="202">
        <f t="shared" si="12"/>
        <v>450</v>
      </c>
      <c r="H106" s="114">
        <v>9</v>
      </c>
      <c r="I106" s="202">
        <f t="shared" si="16"/>
        <v>-133.33333333333334</v>
      </c>
      <c r="J106" s="328">
        <v>0</v>
      </c>
      <c r="K106" s="127"/>
      <c r="L106" s="203">
        <f t="shared" si="13"/>
        <v>18000</v>
      </c>
      <c r="M106" s="203">
        <f t="shared" si="14"/>
        <v>9000</v>
      </c>
      <c r="N106" s="205">
        <f t="shared" si="15"/>
        <v>0</v>
      </c>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row>
    <row r="107" spans="2:41" ht="13" x14ac:dyDescent="0.3">
      <c r="B107" s="583"/>
      <c r="C107" s="114">
        <v>1</v>
      </c>
      <c r="D107" s="114"/>
      <c r="E107" s="181">
        <v>40848</v>
      </c>
      <c r="F107" s="114">
        <v>1</v>
      </c>
      <c r="G107" s="202">
        <f t="shared" si="12"/>
        <v>225</v>
      </c>
      <c r="H107" s="114">
        <v>8</v>
      </c>
      <c r="I107" s="202">
        <f t="shared" si="16"/>
        <v>-133.33333333333334</v>
      </c>
      <c r="J107" s="328">
        <v>0</v>
      </c>
      <c r="K107" s="127"/>
      <c r="L107" s="203">
        <f t="shared" si="13"/>
        <v>16000</v>
      </c>
      <c r="M107" s="203">
        <f t="shared" si="14"/>
        <v>4500</v>
      </c>
      <c r="N107" s="205">
        <f t="shared" si="15"/>
        <v>0</v>
      </c>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row>
    <row r="108" spans="2:41" ht="13" x14ac:dyDescent="0.3">
      <c r="B108" s="583"/>
      <c r="C108" s="114">
        <v>1</v>
      </c>
      <c r="D108" s="114"/>
      <c r="E108" s="181">
        <v>40862</v>
      </c>
      <c r="F108" s="114">
        <v>0</v>
      </c>
      <c r="G108" s="202">
        <f t="shared" si="12"/>
        <v>0</v>
      </c>
      <c r="H108" s="114">
        <v>7</v>
      </c>
      <c r="I108" s="202">
        <f t="shared" si="16"/>
        <v>-133.33333333333334</v>
      </c>
      <c r="J108" s="328">
        <v>0</v>
      </c>
      <c r="K108" s="127"/>
      <c r="L108" s="203">
        <f t="shared" si="13"/>
        <v>14000</v>
      </c>
      <c r="M108" s="203">
        <f t="shared" si="14"/>
        <v>0</v>
      </c>
      <c r="N108" s="205">
        <f t="shared" si="15"/>
        <v>0</v>
      </c>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row>
    <row r="109" spans="2:41" ht="13" x14ac:dyDescent="0.3">
      <c r="B109" s="583"/>
      <c r="C109" s="114">
        <v>1</v>
      </c>
      <c r="D109" s="114"/>
      <c r="E109" s="181">
        <v>40878</v>
      </c>
      <c r="F109" s="114">
        <v>0</v>
      </c>
      <c r="G109" s="202">
        <f t="shared" si="12"/>
        <v>0</v>
      </c>
      <c r="H109" s="114">
        <v>6</v>
      </c>
      <c r="I109" s="202">
        <f t="shared" si="16"/>
        <v>-133.33333333333334</v>
      </c>
      <c r="J109" s="328">
        <v>0</v>
      </c>
      <c r="K109" s="127"/>
      <c r="L109" s="203">
        <f t="shared" si="13"/>
        <v>12000</v>
      </c>
      <c r="M109" s="203">
        <f t="shared" si="14"/>
        <v>0</v>
      </c>
      <c r="N109" s="205">
        <f t="shared" si="15"/>
        <v>0</v>
      </c>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row>
    <row r="110" spans="2:41" ht="13" x14ac:dyDescent="0.3">
      <c r="B110" s="584"/>
      <c r="C110" s="114">
        <v>1</v>
      </c>
      <c r="D110" s="114"/>
      <c r="E110" s="181">
        <v>40892</v>
      </c>
      <c r="F110" s="114">
        <v>0</v>
      </c>
      <c r="G110" s="207">
        <f t="shared" si="12"/>
        <v>0</v>
      </c>
      <c r="H110" s="114">
        <v>6</v>
      </c>
      <c r="I110" s="202">
        <f t="shared" si="16"/>
        <v>0</v>
      </c>
      <c r="J110" s="328">
        <v>0</v>
      </c>
      <c r="K110" s="127"/>
      <c r="L110" s="203">
        <f t="shared" si="13"/>
        <v>12000</v>
      </c>
      <c r="M110" s="203">
        <f t="shared" si="14"/>
        <v>0</v>
      </c>
      <c r="N110" s="205">
        <f t="shared" si="15"/>
        <v>0</v>
      </c>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row>
    <row r="111" spans="2:41" x14ac:dyDescent="0.25">
      <c r="B111" s="127"/>
      <c r="E111" s="311">
        <v>43100</v>
      </c>
      <c r="F111" s="297">
        <f>F87</f>
        <v>0</v>
      </c>
      <c r="G111" s="297">
        <f t="shared" ref="G111:N111" si="17">G87</f>
        <v>0</v>
      </c>
      <c r="H111" s="297">
        <v>6</v>
      </c>
      <c r="I111" s="297">
        <f t="shared" si="17"/>
        <v>0</v>
      </c>
      <c r="J111" s="330">
        <f t="shared" si="17"/>
        <v>0</v>
      </c>
      <c r="K111" s="297"/>
      <c r="L111" s="297">
        <f t="shared" si="17"/>
        <v>0</v>
      </c>
      <c r="M111" s="297">
        <f t="shared" si="17"/>
        <v>0</v>
      </c>
      <c r="N111" s="312">
        <f t="shared" si="17"/>
        <v>0</v>
      </c>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row>
    <row r="112" spans="2:41" x14ac:dyDescent="0.25">
      <c r="B112" s="127"/>
      <c r="E112" s="127"/>
      <c r="G112" s="127"/>
      <c r="I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row>
    <row r="113" spans="2:41" x14ac:dyDescent="0.25">
      <c r="B113" s="127"/>
      <c r="E113" s="127"/>
      <c r="G113" s="127"/>
      <c r="I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row>
    <row r="114" spans="2:41" ht="187.5" x14ac:dyDescent="0.25">
      <c r="B114" s="193" t="s">
        <v>334</v>
      </c>
      <c r="C114" s="151" t="s">
        <v>45</v>
      </c>
      <c r="D114" s="151" t="s">
        <v>46</v>
      </c>
      <c r="E114" s="195" t="s">
        <v>38</v>
      </c>
      <c r="F114" s="154" t="s">
        <v>39</v>
      </c>
      <c r="G114" s="197" t="s">
        <v>84</v>
      </c>
      <c r="H114" s="155" t="s">
        <v>86</v>
      </c>
      <c r="I114" s="199" t="s">
        <v>85</v>
      </c>
      <c r="J114" s="332" t="s">
        <v>40</v>
      </c>
      <c r="K114" s="127"/>
      <c r="L114" s="198" t="s">
        <v>42</v>
      </c>
      <c r="M114" s="196" t="s">
        <v>43</v>
      </c>
      <c r="N114" s="200" t="s">
        <v>87</v>
      </c>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row>
    <row r="115" spans="2:41" ht="13" x14ac:dyDescent="0.3">
      <c r="B115" s="582"/>
      <c r="C115" s="114"/>
      <c r="D115" s="114">
        <v>1</v>
      </c>
      <c r="E115" s="181">
        <v>40544</v>
      </c>
      <c r="F115" s="114">
        <v>2</v>
      </c>
      <c r="G115" s="202">
        <f t="shared" ref="G115:G138" si="18">M115/20</f>
        <v>450</v>
      </c>
      <c r="H115" s="114">
        <v>7</v>
      </c>
      <c r="I115" s="203"/>
      <c r="J115" s="328">
        <v>0</v>
      </c>
      <c r="K115" s="127"/>
      <c r="L115" s="203">
        <f t="shared" ref="L115:L139" si="19">H115*$M$2</f>
        <v>14000</v>
      </c>
      <c r="M115" s="203">
        <f t="shared" ref="M115:M139" si="20">F115*$M$3</f>
        <v>9000</v>
      </c>
      <c r="N115" s="205">
        <f t="shared" ref="N115:N138" si="21">J115*100</f>
        <v>0</v>
      </c>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row>
    <row r="116" spans="2:41" ht="13" x14ac:dyDescent="0.3">
      <c r="B116" s="582"/>
      <c r="C116" s="114"/>
      <c r="D116" s="114">
        <v>1</v>
      </c>
      <c r="E116" s="181">
        <v>40558</v>
      </c>
      <c r="F116" s="114">
        <v>3</v>
      </c>
      <c r="G116" s="202">
        <f t="shared" si="18"/>
        <v>675</v>
      </c>
      <c r="H116" s="114">
        <v>7</v>
      </c>
      <c r="I116" s="202">
        <f t="shared" ref="I116:I138" si="22">(L116-L115)/15</f>
        <v>0</v>
      </c>
      <c r="J116" s="328">
        <v>0</v>
      </c>
      <c r="K116" s="127"/>
      <c r="L116" s="203">
        <f t="shared" si="19"/>
        <v>14000</v>
      </c>
      <c r="M116" s="203">
        <f t="shared" si="20"/>
        <v>13500</v>
      </c>
      <c r="N116" s="205">
        <f t="shared" si="21"/>
        <v>0</v>
      </c>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row>
    <row r="117" spans="2:41" ht="13" x14ac:dyDescent="0.3">
      <c r="B117" s="582"/>
      <c r="C117" s="114"/>
      <c r="D117" s="114">
        <v>1</v>
      </c>
      <c r="E117" s="181">
        <v>40575</v>
      </c>
      <c r="F117" s="114">
        <v>4</v>
      </c>
      <c r="G117" s="202">
        <f t="shared" si="18"/>
        <v>900</v>
      </c>
      <c r="H117" s="114">
        <v>10</v>
      </c>
      <c r="I117" s="202">
        <f t="shared" si="22"/>
        <v>400</v>
      </c>
      <c r="J117" s="328">
        <v>0</v>
      </c>
      <c r="K117" s="127"/>
      <c r="L117" s="203">
        <f t="shared" si="19"/>
        <v>20000</v>
      </c>
      <c r="M117" s="203">
        <f t="shared" si="20"/>
        <v>18000</v>
      </c>
      <c r="N117" s="205">
        <f t="shared" si="21"/>
        <v>0</v>
      </c>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row>
    <row r="118" spans="2:41" ht="13" x14ac:dyDescent="0.3">
      <c r="B118" s="582"/>
      <c r="C118" s="114"/>
      <c r="D118" s="114">
        <v>1</v>
      </c>
      <c r="E118" s="181">
        <v>40589</v>
      </c>
      <c r="F118" s="114">
        <v>5</v>
      </c>
      <c r="G118" s="202">
        <f t="shared" si="18"/>
        <v>1125</v>
      </c>
      <c r="H118" s="114">
        <v>12</v>
      </c>
      <c r="I118" s="202">
        <f t="shared" si="22"/>
        <v>266.66666666666669</v>
      </c>
      <c r="J118" s="328">
        <v>0</v>
      </c>
      <c r="K118" s="127"/>
      <c r="L118" s="203">
        <f t="shared" si="19"/>
        <v>24000</v>
      </c>
      <c r="M118" s="203">
        <f t="shared" si="20"/>
        <v>22500</v>
      </c>
      <c r="N118" s="205">
        <f t="shared" si="21"/>
        <v>0</v>
      </c>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row>
    <row r="119" spans="2:41" ht="13" x14ac:dyDescent="0.3">
      <c r="B119" s="582"/>
      <c r="C119" s="114"/>
      <c r="D119" s="114">
        <v>1</v>
      </c>
      <c r="E119" s="181">
        <v>40603</v>
      </c>
      <c r="F119" s="114">
        <v>7</v>
      </c>
      <c r="G119" s="202">
        <f t="shared" si="18"/>
        <v>1575</v>
      </c>
      <c r="H119" s="114">
        <v>12</v>
      </c>
      <c r="I119" s="202">
        <f t="shared" si="22"/>
        <v>0</v>
      </c>
      <c r="J119" s="328">
        <v>0</v>
      </c>
      <c r="K119" s="127"/>
      <c r="L119" s="203">
        <f t="shared" si="19"/>
        <v>24000</v>
      </c>
      <c r="M119" s="203">
        <f t="shared" si="20"/>
        <v>31500</v>
      </c>
      <c r="N119" s="205">
        <f t="shared" si="21"/>
        <v>0</v>
      </c>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row>
    <row r="120" spans="2:41" ht="13" x14ac:dyDescent="0.3">
      <c r="B120" s="582"/>
      <c r="C120" s="114"/>
      <c r="D120" s="114">
        <v>1</v>
      </c>
      <c r="E120" s="181">
        <v>40617</v>
      </c>
      <c r="F120" s="114">
        <v>7.5</v>
      </c>
      <c r="G120" s="202">
        <f t="shared" si="18"/>
        <v>1687.5</v>
      </c>
      <c r="H120" s="114">
        <v>14</v>
      </c>
      <c r="I120" s="202">
        <f t="shared" si="22"/>
        <v>266.66666666666669</v>
      </c>
      <c r="J120" s="328">
        <v>0.02</v>
      </c>
      <c r="K120" s="127"/>
      <c r="L120" s="203">
        <f t="shared" si="19"/>
        <v>28000</v>
      </c>
      <c r="M120" s="203">
        <f t="shared" si="20"/>
        <v>33750</v>
      </c>
      <c r="N120" s="205">
        <f t="shared" si="21"/>
        <v>2</v>
      </c>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row>
    <row r="121" spans="2:41" ht="13" x14ac:dyDescent="0.3">
      <c r="B121" s="582"/>
      <c r="C121" s="114"/>
      <c r="D121" s="114">
        <v>1</v>
      </c>
      <c r="E121" s="181">
        <v>40634</v>
      </c>
      <c r="F121" s="114">
        <v>8</v>
      </c>
      <c r="G121" s="202">
        <f t="shared" si="18"/>
        <v>1800</v>
      </c>
      <c r="H121" s="114">
        <v>16</v>
      </c>
      <c r="I121" s="202">
        <f t="shared" si="22"/>
        <v>266.66666666666669</v>
      </c>
      <c r="J121" s="328">
        <v>0.03</v>
      </c>
      <c r="K121" s="127"/>
      <c r="L121" s="203">
        <f t="shared" si="19"/>
        <v>32000</v>
      </c>
      <c r="M121" s="203">
        <f t="shared" si="20"/>
        <v>36000</v>
      </c>
      <c r="N121" s="205">
        <f t="shared" si="21"/>
        <v>3</v>
      </c>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row>
    <row r="122" spans="2:41" ht="13" x14ac:dyDescent="0.3">
      <c r="B122" s="582"/>
      <c r="C122" s="114"/>
      <c r="D122" s="114">
        <v>1</v>
      </c>
      <c r="E122" s="181">
        <v>40648</v>
      </c>
      <c r="F122" s="114">
        <v>7</v>
      </c>
      <c r="G122" s="202">
        <f t="shared" si="18"/>
        <v>1575</v>
      </c>
      <c r="H122" s="114">
        <v>18</v>
      </c>
      <c r="I122" s="202">
        <f t="shared" si="22"/>
        <v>266.66666666666669</v>
      </c>
      <c r="J122" s="328">
        <v>0.06</v>
      </c>
      <c r="K122" s="127"/>
      <c r="L122" s="203">
        <f t="shared" si="19"/>
        <v>36000</v>
      </c>
      <c r="M122" s="203">
        <f t="shared" si="20"/>
        <v>31500</v>
      </c>
      <c r="N122" s="205">
        <f t="shared" si="21"/>
        <v>6</v>
      </c>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row>
    <row r="123" spans="2:41" ht="13" x14ac:dyDescent="0.3">
      <c r="B123" s="582"/>
      <c r="C123" s="114"/>
      <c r="D123" s="114">
        <v>1</v>
      </c>
      <c r="E123" s="181">
        <v>40664</v>
      </c>
      <c r="F123" s="114">
        <v>6</v>
      </c>
      <c r="G123" s="202">
        <f t="shared" si="18"/>
        <v>1350</v>
      </c>
      <c r="H123" s="114">
        <v>18</v>
      </c>
      <c r="I123" s="202">
        <f t="shared" si="22"/>
        <v>0</v>
      </c>
      <c r="J123" s="328">
        <v>0.06</v>
      </c>
      <c r="K123" s="127"/>
      <c r="L123" s="203">
        <f t="shared" si="19"/>
        <v>36000</v>
      </c>
      <c r="M123" s="203">
        <f t="shared" si="20"/>
        <v>27000</v>
      </c>
      <c r="N123" s="205">
        <f t="shared" si="21"/>
        <v>6</v>
      </c>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row>
    <row r="124" spans="2:41" ht="13" x14ac:dyDescent="0.3">
      <c r="B124" s="582"/>
      <c r="C124" s="114"/>
      <c r="D124" s="114">
        <v>1</v>
      </c>
      <c r="E124" s="181">
        <v>40678</v>
      </c>
      <c r="F124" s="114">
        <v>6</v>
      </c>
      <c r="G124" s="202">
        <f t="shared" si="18"/>
        <v>1350</v>
      </c>
      <c r="H124" s="114">
        <v>16</v>
      </c>
      <c r="I124" s="202">
        <f t="shared" si="22"/>
        <v>-266.66666666666669</v>
      </c>
      <c r="J124" s="328">
        <v>0.06</v>
      </c>
      <c r="K124" s="127"/>
      <c r="L124" s="203">
        <f t="shared" si="19"/>
        <v>32000</v>
      </c>
      <c r="M124" s="203">
        <f t="shared" si="20"/>
        <v>27000</v>
      </c>
      <c r="N124" s="205">
        <f t="shared" si="21"/>
        <v>6</v>
      </c>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row>
    <row r="125" spans="2:41" ht="13" x14ac:dyDescent="0.3">
      <c r="B125" s="582"/>
      <c r="C125" s="114"/>
      <c r="D125" s="114">
        <v>1</v>
      </c>
      <c r="E125" s="181">
        <v>40695</v>
      </c>
      <c r="F125" s="114">
        <v>5</v>
      </c>
      <c r="G125" s="202">
        <f t="shared" si="18"/>
        <v>1125</v>
      </c>
      <c r="H125" s="114">
        <v>15</v>
      </c>
      <c r="I125" s="202">
        <f t="shared" si="22"/>
        <v>-133.33333333333334</v>
      </c>
      <c r="J125" s="328">
        <v>0.05</v>
      </c>
      <c r="K125" s="127"/>
      <c r="L125" s="203">
        <f t="shared" si="19"/>
        <v>30000</v>
      </c>
      <c r="M125" s="203">
        <f t="shared" si="20"/>
        <v>22500</v>
      </c>
      <c r="N125" s="205">
        <f t="shared" si="21"/>
        <v>5</v>
      </c>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row>
    <row r="126" spans="2:41" ht="13" x14ac:dyDescent="0.3">
      <c r="B126" s="582"/>
      <c r="C126" s="114"/>
      <c r="D126" s="114">
        <v>1</v>
      </c>
      <c r="E126" s="181">
        <v>40709</v>
      </c>
      <c r="F126" s="114">
        <v>4</v>
      </c>
      <c r="G126" s="202">
        <f t="shared" si="18"/>
        <v>900</v>
      </c>
      <c r="H126" s="114">
        <v>14</v>
      </c>
      <c r="I126" s="202">
        <f t="shared" si="22"/>
        <v>-133.33333333333334</v>
      </c>
      <c r="J126" s="328">
        <v>0.05</v>
      </c>
      <c r="K126" s="127"/>
      <c r="L126" s="203">
        <f t="shared" si="19"/>
        <v>28000</v>
      </c>
      <c r="M126" s="203">
        <f t="shared" si="20"/>
        <v>18000</v>
      </c>
      <c r="N126" s="205">
        <f t="shared" si="21"/>
        <v>5</v>
      </c>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row>
    <row r="127" spans="2:41" ht="13" x14ac:dyDescent="0.3">
      <c r="B127" s="582"/>
      <c r="C127" s="114"/>
      <c r="D127" s="114">
        <v>1</v>
      </c>
      <c r="E127" s="181">
        <v>40725</v>
      </c>
      <c r="F127" s="114">
        <v>4</v>
      </c>
      <c r="G127" s="202">
        <f t="shared" si="18"/>
        <v>900</v>
      </c>
      <c r="H127" s="114">
        <v>13</v>
      </c>
      <c r="I127" s="202">
        <f t="shared" si="22"/>
        <v>-133.33333333333334</v>
      </c>
      <c r="J127" s="328">
        <v>0.05</v>
      </c>
      <c r="K127" s="127"/>
      <c r="L127" s="203">
        <f t="shared" si="19"/>
        <v>26000</v>
      </c>
      <c r="M127" s="203">
        <f t="shared" si="20"/>
        <v>18000</v>
      </c>
      <c r="N127" s="205">
        <f t="shared" si="21"/>
        <v>5</v>
      </c>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row>
    <row r="128" spans="2:41" ht="13" x14ac:dyDescent="0.3">
      <c r="B128" s="582"/>
      <c r="C128" s="114"/>
      <c r="D128" s="114">
        <v>1</v>
      </c>
      <c r="E128" s="181">
        <v>40739</v>
      </c>
      <c r="F128" s="114">
        <v>3</v>
      </c>
      <c r="G128" s="202">
        <f t="shared" si="18"/>
        <v>675</v>
      </c>
      <c r="H128" s="114">
        <v>12</v>
      </c>
      <c r="I128" s="202">
        <f t="shared" si="22"/>
        <v>-133.33333333333334</v>
      </c>
      <c r="J128" s="328">
        <v>0.05</v>
      </c>
      <c r="K128" s="127"/>
      <c r="L128" s="203">
        <f t="shared" si="19"/>
        <v>24000</v>
      </c>
      <c r="M128" s="203">
        <f t="shared" si="20"/>
        <v>13500</v>
      </c>
      <c r="N128" s="205">
        <f t="shared" si="21"/>
        <v>5</v>
      </c>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row>
    <row r="129" spans="2:41" ht="13" x14ac:dyDescent="0.3">
      <c r="B129" s="582"/>
      <c r="C129" s="114"/>
      <c r="D129" s="114">
        <v>1</v>
      </c>
      <c r="E129" s="181">
        <v>40756</v>
      </c>
      <c r="F129" s="114">
        <v>2</v>
      </c>
      <c r="G129" s="202">
        <f t="shared" si="18"/>
        <v>450</v>
      </c>
      <c r="H129" s="114">
        <v>10</v>
      </c>
      <c r="I129" s="202">
        <f t="shared" si="22"/>
        <v>-266.66666666666669</v>
      </c>
      <c r="J129" s="328">
        <v>0.05</v>
      </c>
      <c r="K129" s="127"/>
      <c r="L129" s="203">
        <f t="shared" si="19"/>
        <v>20000</v>
      </c>
      <c r="M129" s="203">
        <f t="shared" si="20"/>
        <v>9000</v>
      </c>
      <c r="N129" s="205">
        <f t="shared" si="21"/>
        <v>5</v>
      </c>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row>
    <row r="130" spans="2:41" ht="13" x14ac:dyDescent="0.3">
      <c r="B130" s="582"/>
      <c r="C130" s="114">
        <v>1</v>
      </c>
      <c r="D130" s="114">
        <v>1</v>
      </c>
      <c r="E130" s="181">
        <v>40770</v>
      </c>
      <c r="F130" s="114">
        <v>2</v>
      </c>
      <c r="G130" s="202">
        <f t="shared" si="18"/>
        <v>450</v>
      </c>
      <c r="H130" s="114">
        <v>8</v>
      </c>
      <c r="I130" s="202">
        <f t="shared" si="22"/>
        <v>-266.66666666666669</v>
      </c>
      <c r="J130" s="328">
        <v>0.05</v>
      </c>
      <c r="K130" s="127"/>
      <c r="L130" s="203">
        <f t="shared" si="19"/>
        <v>16000</v>
      </c>
      <c r="M130" s="203">
        <f t="shared" si="20"/>
        <v>9000</v>
      </c>
      <c r="N130" s="205">
        <f t="shared" si="21"/>
        <v>5</v>
      </c>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row>
    <row r="131" spans="2:41" ht="13" x14ac:dyDescent="0.3">
      <c r="B131" s="582"/>
      <c r="C131" s="114">
        <v>1</v>
      </c>
      <c r="D131" s="114">
        <v>1</v>
      </c>
      <c r="E131" s="181">
        <v>40787</v>
      </c>
      <c r="F131" s="114">
        <v>2</v>
      </c>
      <c r="G131" s="202">
        <f t="shared" si="18"/>
        <v>450</v>
      </c>
      <c r="H131" s="114">
        <v>7</v>
      </c>
      <c r="I131" s="202">
        <f t="shared" si="22"/>
        <v>-133.33333333333334</v>
      </c>
      <c r="J131" s="328">
        <v>0.02</v>
      </c>
      <c r="K131" s="127"/>
      <c r="L131" s="203">
        <f t="shared" si="19"/>
        <v>14000</v>
      </c>
      <c r="M131" s="203">
        <f t="shared" si="20"/>
        <v>9000</v>
      </c>
      <c r="N131" s="205">
        <f t="shared" si="21"/>
        <v>2</v>
      </c>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row>
    <row r="132" spans="2:41" ht="13" x14ac:dyDescent="0.3">
      <c r="B132" s="582"/>
      <c r="C132" s="114">
        <v>1</v>
      </c>
      <c r="D132" s="114">
        <v>1</v>
      </c>
      <c r="E132" s="181">
        <v>40801</v>
      </c>
      <c r="F132" s="114">
        <v>4</v>
      </c>
      <c r="G132" s="202">
        <f t="shared" si="18"/>
        <v>900</v>
      </c>
      <c r="H132" s="114">
        <v>7.5</v>
      </c>
      <c r="I132" s="202">
        <f t="shared" si="22"/>
        <v>66.666666666666671</v>
      </c>
      <c r="J132" s="328">
        <v>0.02</v>
      </c>
      <c r="K132" s="127"/>
      <c r="L132" s="203">
        <f t="shared" si="19"/>
        <v>15000</v>
      </c>
      <c r="M132" s="203">
        <f t="shared" si="20"/>
        <v>18000</v>
      </c>
      <c r="N132" s="205">
        <f t="shared" si="21"/>
        <v>2</v>
      </c>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row>
    <row r="133" spans="2:41" ht="13" x14ac:dyDescent="0.3">
      <c r="B133" s="582"/>
      <c r="C133" s="114"/>
      <c r="D133" s="114">
        <v>1</v>
      </c>
      <c r="E133" s="181">
        <v>40817</v>
      </c>
      <c r="F133" s="114">
        <v>4</v>
      </c>
      <c r="G133" s="202">
        <f t="shared" si="18"/>
        <v>900</v>
      </c>
      <c r="H133" s="114">
        <v>8</v>
      </c>
      <c r="I133" s="202">
        <f t="shared" si="22"/>
        <v>66.666666666666671</v>
      </c>
      <c r="J133" s="328">
        <v>0</v>
      </c>
      <c r="K133" s="127"/>
      <c r="L133" s="203">
        <f t="shared" si="19"/>
        <v>16000</v>
      </c>
      <c r="M133" s="203">
        <f t="shared" si="20"/>
        <v>18000</v>
      </c>
      <c r="N133" s="205">
        <f t="shared" si="21"/>
        <v>0</v>
      </c>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row>
    <row r="134" spans="2:41" ht="13" x14ac:dyDescent="0.3">
      <c r="B134" s="582"/>
      <c r="C134" s="114"/>
      <c r="D134" s="114">
        <v>1</v>
      </c>
      <c r="E134" s="181">
        <v>40831</v>
      </c>
      <c r="F134" s="114">
        <v>3</v>
      </c>
      <c r="G134" s="202">
        <f t="shared" si="18"/>
        <v>675</v>
      </c>
      <c r="H134" s="114">
        <v>10</v>
      </c>
      <c r="I134" s="202">
        <f t="shared" si="22"/>
        <v>266.66666666666669</v>
      </c>
      <c r="J134" s="328">
        <v>0</v>
      </c>
      <c r="K134" s="127"/>
      <c r="L134" s="203">
        <f t="shared" si="19"/>
        <v>20000</v>
      </c>
      <c r="M134" s="203">
        <f t="shared" si="20"/>
        <v>13500</v>
      </c>
      <c r="N134" s="205">
        <f t="shared" si="21"/>
        <v>0</v>
      </c>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row>
    <row r="135" spans="2:41" ht="13" x14ac:dyDescent="0.3">
      <c r="B135" s="582"/>
      <c r="C135" s="114"/>
      <c r="D135" s="114"/>
      <c r="E135" s="181">
        <v>40848</v>
      </c>
      <c r="F135" s="114">
        <v>2</v>
      </c>
      <c r="G135" s="202">
        <f t="shared" si="18"/>
        <v>450</v>
      </c>
      <c r="H135" s="114">
        <v>10</v>
      </c>
      <c r="I135" s="202">
        <f t="shared" si="22"/>
        <v>0</v>
      </c>
      <c r="J135" s="328">
        <v>0</v>
      </c>
      <c r="K135" s="127"/>
      <c r="L135" s="203">
        <f t="shared" si="19"/>
        <v>20000</v>
      </c>
      <c r="M135" s="203">
        <f t="shared" si="20"/>
        <v>9000</v>
      </c>
      <c r="N135" s="205">
        <f t="shared" si="21"/>
        <v>0</v>
      </c>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row>
    <row r="136" spans="2:41" ht="13" x14ac:dyDescent="0.3">
      <c r="B136" s="582"/>
      <c r="C136" s="114"/>
      <c r="D136" s="114"/>
      <c r="E136" s="181">
        <v>40862</v>
      </c>
      <c r="F136" s="114">
        <v>2</v>
      </c>
      <c r="G136" s="202">
        <f t="shared" si="18"/>
        <v>450</v>
      </c>
      <c r="H136" s="114">
        <v>9</v>
      </c>
      <c r="I136" s="202">
        <f t="shared" si="22"/>
        <v>-133.33333333333334</v>
      </c>
      <c r="J136" s="328">
        <v>0</v>
      </c>
      <c r="K136" s="127"/>
      <c r="L136" s="203">
        <f t="shared" si="19"/>
        <v>18000</v>
      </c>
      <c r="M136" s="203">
        <f t="shared" si="20"/>
        <v>9000</v>
      </c>
      <c r="N136" s="205">
        <f t="shared" si="21"/>
        <v>0</v>
      </c>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row>
    <row r="137" spans="2:41" ht="13" x14ac:dyDescent="0.3">
      <c r="B137" s="582"/>
      <c r="C137" s="114"/>
      <c r="D137" s="114"/>
      <c r="E137" s="181">
        <v>40878</v>
      </c>
      <c r="F137" s="114">
        <v>2</v>
      </c>
      <c r="G137" s="202">
        <f t="shared" si="18"/>
        <v>450</v>
      </c>
      <c r="H137" s="114">
        <v>8</v>
      </c>
      <c r="I137" s="202">
        <f t="shared" si="22"/>
        <v>-133.33333333333334</v>
      </c>
      <c r="J137" s="328">
        <v>0</v>
      </c>
      <c r="K137" s="127"/>
      <c r="L137" s="203">
        <f t="shared" si="19"/>
        <v>16000</v>
      </c>
      <c r="M137" s="203">
        <f t="shared" si="20"/>
        <v>9000</v>
      </c>
      <c r="N137" s="205">
        <f t="shared" si="21"/>
        <v>0</v>
      </c>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row>
    <row r="138" spans="2:41" ht="13" x14ac:dyDescent="0.3">
      <c r="B138" s="582"/>
      <c r="C138" s="114"/>
      <c r="D138" s="114"/>
      <c r="E138" s="181">
        <v>40892</v>
      </c>
      <c r="F138" s="114">
        <v>2</v>
      </c>
      <c r="G138" s="207">
        <f t="shared" si="18"/>
        <v>450</v>
      </c>
      <c r="H138" s="114">
        <v>7</v>
      </c>
      <c r="I138" s="202">
        <f t="shared" si="22"/>
        <v>-133.33333333333334</v>
      </c>
      <c r="J138" s="328">
        <v>0</v>
      </c>
      <c r="K138" s="127"/>
      <c r="L138" s="203">
        <f t="shared" si="19"/>
        <v>14000</v>
      </c>
      <c r="M138" s="203">
        <f t="shared" si="20"/>
        <v>9000</v>
      </c>
      <c r="N138" s="205">
        <f t="shared" si="21"/>
        <v>0</v>
      </c>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row>
    <row r="139" spans="2:41" x14ac:dyDescent="0.25">
      <c r="B139" s="127"/>
      <c r="E139" s="311">
        <v>43100</v>
      </c>
      <c r="F139" s="297">
        <f>F115</f>
        <v>2</v>
      </c>
      <c r="G139" s="339"/>
      <c r="H139" s="339">
        <f t="shared" ref="H139:N139" si="23">H115</f>
        <v>7</v>
      </c>
      <c r="I139" s="339"/>
      <c r="J139" s="339">
        <f t="shared" si="23"/>
        <v>0</v>
      </c>
      <c r="K139" s="339">
        <f t="shared" si="23"/>
        <v>0</v>
      </c>
      <c r="L139" s="339">
        <f t="shared" si="19"/>
        <v>14000</v>
      </c>
      <c r="M139" s="339">
        <f t="shared" si="20"/>
        <v>9000</v>
      </c>
      <c r="N139" s="339">
        <f t="shared" si="23"/>
        <v>0</v>
      </c>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row>
    <row r="140" spans="2:41" x14ac:dyDescent="0.25">
      <c r="B140" s="127"/>
      <c r="E140" s="127"/>
      <c r="G140" s="127"/>
      <c r="I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row>
    <row r="141" spans="2:41" x14ac:dyDescent="0.25">
      <c r="B141" s="127"/>
      <c r="D141" s="150"/>
      <c r="E141" s="127"/>
      <c r="G141" s="127"/>
      <c r="I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row>
    <row r="142" spans="2:41" ht="187.5" x14ac:dyDescent="0.25">
      <c r="B142" s="193" t="s">
        <v>161</v>
      </c>
      <c r="C142" s="151" t="s">
        <v>45</v>
      </c>
      <c r="D142" s="151" t="s">
        <v>46</v>
      </c>
      <c r="E142" s="195" t="s">
        <v>38</v>
      </c>
      <c r="F142" s="154" t="s">
        <v>39</v>
      </c>
      <c r="G142" s="197" t="s">
        <v>84</v>
      </c>
      <c r="H142" s="155" t="s">
        <v>86</v>
      </c>
      <c r="I142" s="199" t="s">
        <v>85</v>
      </c>
      <c r="J142" s="332" t="s">
        <v>40</v>
      </c>
      <c r="K142" s="127"/>
      <c r="L142" s="198" t="s">
        <v>42</v>
      </c>
      <c r="M142" s="196" t="s">
        <v>43</v>
      </c>
      <c r="N142" s="200" t="s">
        <v>87</v>
      </c>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row>
    <row r="143" spans="2:41" ht="13" x14ac:dyDescent="0.3">
      <c r="B143" s="582"/>
      <c r="C143" s="114">
        <v>1</v>
      </c>
      <c r="D143" s="114"/>
      <c r="E143" s="181">
        <v>40544</v>
      </c>
      <c r="F143" s="114">
        <v>4.2999999999999997E-2</v>
      </c>
      <c r="G143" s="202">
        <f t="shared" ref="G143:G166" si="24">M143/20</f>
        <v>9.6749999999999989</v>
      </c>
      <c r="H143" s="114">
        <v>8</v>
      </c>
      <c r="I143" s="203"/>
      <c r="J143" s="328">
        <v>0</v>
      </c>
      <c r="K143" s="127"/>
      <c r="L143" s="203">
        <f t="shared" ref="L143:L166" si="25">H143*$M$2</f>
        <v>16000</v>
      </c>
      <c r="M143" s="203">
        <f t="shared" ref="M143:M166" si="26">F143*$M$3</f>
        <v>193.49999999999997</v>
      </c>
      <c r="N143" s="205">
        <f t="shared" ref="N143:N166" si="27">J143*100</f>
        <v>0</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row>
    <row r="144" spans="2:41" ht="13" x14ac:dyDescent="0.3">
      <c r="B144" s="582"/>
      <c r="C144" s="114">
        <v>1</v>
      </c>
      <c r="D144" s="114"/>
      <c r="E144" s="181">
        <v>40558</v>
      </c>
      <c r="F144" s="114">
        <v>4.2999999999999997E-2</v>
      </c>
      <c r="G144" s="202">
        <f t="shared" si="24"/>
        <v>9.6749999999999989</v>
      </c>
      <c r="H144" s="114">
        <v>8</v>
      </c>
      <c r="I144" s="202">
        <f t="shared" ref="I144:I166" si="28">(L144-L143)/15</f>
        <v>0</v>
      </c>
      <c r="J144" s="328">
        <v>0</v>
      </c>
      <c r="K144" s="127"/>
      <c r="L144" s="203">
        <f t="shared" si="25"/>
        <v>16000</v>
      </c>
      <c r="M144" s="203">
        <f t="shared" si="26"/>
        <v>193.49999999999997</v>
      </c>
      <c r="N144" s="205">
        <f t="shared" si="27"/>
        <v>0</v>
      </c>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row>
    <row r="145" spans="2:41" ht="13" x14ac:dyDescent="0.3">
      <c r="B145" s="582"/>
      <c r="C145" s="114">
        <v>1</v>
      </c>
      <c r="D145" s="114"/>
      <c r="E145" s="181">
        <v>40575</v>
      </c>
      <c r="F145" s="114">
        <v>4.2999999999999997E-2</v>
      </c>
      <c r="G145" s="202">
        <f t="shared" si="24"/>
        <v>9.6749999999999989</v>
      </c>
      <c r="H145" s="114">
        <v>8</v>
      </c>
      <c r="I145" s="202">
        <f t="shared" si="28"/>
        <v>0</v>
      </c>
      <c r="J145" s="328">
        <v>0</v>
      </c>
      <c r="K145" s="127"/>
      <c r="L145" s="203">
        <f t="shared" si="25"/>
        <v>16000</v>
      </c>
      <c r="M145" s="203">
        <f t="shared" si="26"/>
        <v>193.49999999999997</v>
      </c>
      <c r="N145" s="205">
        <f t="shared" si="27"/>
        <v>0</v>
      </c>
      <c r="O145" s="127"/>
      <c r="P145" s="127"/>
      <c r="Q145" s="127"/>
      <c r="R145" s="127"/>
      <c r="S145" s="206"/>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row>
    <row r="146" spans="2:41" ht="13" x14ac:dyDescent="0.3">
      <c r="B146" s="582"/>
      <c r="C146" s="114">
        <v>1</v>
      </c>
      <c r="D146" s="114"/>
      <c r="E146" s="181">
        <v>40589</v>
      </c>
      <c r="F146" s="114">
        <v>4.2999999999999997E-2</v>
      </c>
      <c r="G146" s="202">
        <f t="shared" si="24"/>
        <v>9.6749999999999989</v>
      </c>
      <c r="H146" s="114">
        <v>8</v>
      </c>
      <c r="I146" s="202">
        <f t="shared" si="28"/>
        <v>0</v>
      </c>
      <c r="J146" s="328">
        <v>0</v>
      </c>
      <c r="K146" s="127"/>
      <c r="L146" s="203">
        <f t="shared" si="25"/>
        <v>16000</v>
      </c>
      <c r="M146" s="203">
        <f t="shared" si="26"/>
        <v>193.49999999999997</v>
      </c>
      <c r="N146" s="205">
        <f t="shared" si="27"/>
        <v>0</v>
      </c>
      <c r="O146" s="127"/>
      <c r="P146" s="127"/>
      <c r="Q146" s="127"/>
      <c r="R146" s="127"/>
      <c r="S146" s="206"/>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row>
    <row r="147" spans="2:41" ht="13" x14ac:dyDescent="0.3">
      <c r="B147" s="582"/>
      <c r="C147" s="114">
        <v>1</v>
      </c>
      <c r="D147" s="114"/>
      <c r="E147" s="181">
        <v>40603</v>
      </c>
      <c r="F147" s="114">
        <v>4.2999999999999997E-2</v>
      </c>
      <c r="G147" s="202">
        <f t="shared" si="24"/>
        <v>9.6749999999999989</v>
      </c>
      <c r="H147" s="114">
        <v>7</v>
      </c>
      <c r="I147" s="202">
        <f t="shared" si="28"/>
        <v>-133.33333333333334</v>
      </c>
      <c r="J147" s="328">
        <v>0</v>
      </c>
      <c r="K147" s="127"/>
      <c r="L147" s="203">
        <f t="shared" si="25"/>
        <v>14000</v>
      </c>
      <c r="M147" s="203">
        <f t="shared" si="26"/>
        <v>193.49999999999997</v>
      </c>
      <c r="N147" s="205">
        <f t="shared" si="27"/>
        <v>0</v>
      </c>
      <c r="O147" s="127"/>
      <c r="P147" s="127"/>
      <c r="Q147" s="127"/>
      <c r="R147" s="127"/>
      <c r="S147" s="206"/>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row>
    <row r="148" spans="2:41" ht="13" x14ac:dyDescent="0.3">
      <c r="B148" s="582"/>
      <c r="C148" s="114">
        <v>1</v>
      </c>
      <c r="D148" s="114"/>
      <c r="E148" s="181">
        <v>40617</v>
      </c>
      <c r="F148" s="114">
        <v>0.5</v>
      </c>
      <c r="G148" s="202">
        <f t="shared" si="24"/>
        <v>112.5</v>
      </c>
      <c r="H148" s="114">
        <v>6</v>
      </c>
      <c r="I148" s="202">
        <f t="shared" si="28"/>
        <v>-133.33333333333334</v>
      </c>
      <c r="J148" s="328">
        <v>0.02</v>
      </c>
      <c r="K148" s="127"/>
      <c r="L148" s="203">
        <f t="shared" si="25"/>
        <v>12000</v>
      </c>
      <c r="M148" s="203">
        <f t="shared" si="26"/>
        <v>2250</v>
      </c>
      <c r="N148" s="205">
        <f t="shared" si="27"/>
        <v>2</v>
      </c>
      <c r="O148" s="127"/>
      <c r="P148" s="127"/>
      <c r="Q148" s="127"/>
      <c r="R148" s="127"/>
      <c r="S148" s="206"/>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row>
    <row r="149" spans="2:41" ht="13" x14ac:dyDescent="0.3">
      <c r="B149" s="582"/>
      <c r="C149" s="114"/>
      <c r="D149" s="114">
        <v>1</v>
      </c>
      <c r="E149" s="181">
        <v>40634</v>
      </c>
      <c r="F149" s="114">
        <v>1</v>
      </c>
      <c r="G149" s="202">
        <f t="shared" si="24"/>
        <v>225</v>
      </c>
      <c r="H149" s="114">
        <v>6</v>
      </c>
      <c r="I149" s="202">
        <f t="shared" si="28"/>
        <v>0</v>
      </c>
      <c r="J149" s="328">
        <v>0.03</v>
      </c>
      <c r="K149" s="127"/>
      <c r="L149" s="203">
        <f t="shared" si="25"/>
        <v>12000</v>
      </c>
      <c r="M149" s="203">
        <f t="shared" si="26"/>
        <v>4500</v>
      </c>
      <c r="N149" s="205">
        <f t="shared" si="27"/>
        <v>3</v>
      </c>
      <c r="O149" s="127"/>
      <c r="P149" s="127"/>
      <c r="Q149" s="127"/>
      <c r="R149" s="127"/>
      <c r="S149" s="206"/>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row>
    <row r="150" spans="2:41" ht="13" x14ac:dyDescent="0.3">
      <c r="B150" s="582"/>
      <c r="C150" s="114"/>
      <c r="D150" s="114">
        <v>1</v>
      </c>
      <c r="E150" s="181">
        <v>40648</v>
      </c>
      <c r="F150" s="114">
        <v>5</v>
      </c>
      <c r="G150" s="202">
        <f t="shared" si="24"/>
        <v>1125</v>
      </c>
      <c r="H150" s="114">
        <v>6</v>
      </c>
      <c r="I150" s="202">
        <f t="shared" si="28"/>
        <v>0</v>
      </c>
      <c r="J150" s="328">
        <v>0.06</v>
      </c>
      <c r="K150" s="127"/>
      <c r="L150" s="203">
        <f t="shared" si="25"/>
        <v>12000</v>
      </c>
      <c r="M150" s="203">
        <f t="shared" si="26"/>
        <v>22500</v>
      </c>
      <c r="N150" s="205">
        <f t="shared" si="27"/>
        <v>6</v>
      </c>
      <c r="O150" s="127"/>
      <c r="P150" s="127"/>
      <c r="Q150" s="127"/>
      <c r="R150" s="127"/>
      <c r="S150" s="206"/>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row>
    <row r="151" spans="2:41" ht="13" x14ac:dyDescent="0.3">
      <c r="B151" s="582"/>
      <c r="C151" s="114"/>
      <c r="D151" s="114">
        <v>1</v>
      </c>
      <c r="E151" s="181">
        <v>40664</v>
      </c>
      <c r="F151" s="114">
        <v>7</v>
      </c>
      <c r="G151" s="202">
        <f t="shared" si="24"/>
        <v>1575</v>
      </c>
      <c r="H151" s="114">
        <v>10</v>
      </c>
      <c r="I151" s="202">
        <f t="shared" si="28"/>
        <v>533.33333333333337</v>
      </c>
      <c r="J151" s="328">
        <v>0.1</v>
      </c>
      <c r="K151" s="127"/>
      <c r="L151" s="203">
        <f t="shared" si="25"/>
        <v>20000</v>
      </c>
      <c r="M151" s="203">
        <f t="shared" si="26"/>
        <v>31500</v>
      </c>
      <c r="N151" s="205">
        <f t="shared" si="27"/>
        <v>10</v>
      </c>
      <c r="O151" s="127"/>
      <c r="P151" s="127"/>
      <c r="Q151" s="127"/>
      <c r="R151" s="127"/>
      <c r="S151" s="206"/>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row>
    <row r="152" spans="2:41" ht="13" x14ac:dyDescent="0.3">
      <c r="B152" s="582"/>
      <c r="C152" s="114"/>
      <c r="D152" s="114">
        <v>1</v>
      </c>
      <c r="E152" s="181">
        <v>40678</v>
      </c>
      <c r="F152" s="114">
        <v>7</v>
      </c>
      <c r="G152" s="202">
        <f t="shared" si="24"/>
        <v>1575</v>
      </c>
      <c r="H152" s="114">
        <v>14</v>
      </c>
      <c r="I152" s="202">
        <f t="shared" si="28"/>
        <v>533.33333333333337</v>
      </c>
      <c r="J152" s="328">
        <v>0.1</v>
      </c>
      <c r="K152" s="127"/>
      <c r="L152" s="203">
        <f t="shared" si="25"/>
        <v>28000</v>
      </c>
      <c r="M152" s="203">
        <f t="shared" si="26"/>
        <v>31500</v>
      </c>
      <c r="N152" s="205">
        <f t="shared" si="27"/>
        <v>10</v>
      </c>
      <c r="O152" s="127"/>
      <c r="P152" s="127"/>
      <c r="Q152" s="127"/>
      <c r="R152" s="127"/>
      <c r="S152" s="206"/>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row>
    <row r="153" spans="2:41" ht="13" x14ac:dyDescent="0.3">
      <c r="B153" s="582"/>
      <c r="C153" s="114"/>
      <c r="D153" s="114">
        <v>1</v>
      </c>
      <c r="E153" s="181">
        <v>40695</v>
      </c>
      <c r="F153" s="114">
        <v>8</v>
      </c>
      <c r="G153" s="202">
        <f t="shared" si="24"/>
        <v>1800</v>
      </c>
      <c r="H153" s="114">
        <v>20</v>
      </c>
      <c r="I153" s="202">
        <f t="shared" si="28"/>
        <v>800</v>
      </c>
      <c r="J153" s="328">
        <v>0.05</v>
      </c>
      <c r="K153" s="127"/>
      <c r="L153" s="203">
        <f t="shared" si="25"/>
        <v>40000</v>
      </c>
      <c r="M153" s="203">
        <f t="shared" si="26"/>
        <v>36000</v>
      </c>
      <c r="N153" s="205">
        <f t="shared" si="27"/>
        <v>5</v>
      </c>
      <c r="O153" s="127"/>
      <c r="P153" s="127"/>
      <c r="Q153" s="127"/>
      <c r="R153" s="127"/>
      <c r="S153" s="206"/>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row>
    <row r="154" spans="2:41" ht="13" x14ac:dyDescent="0.3">
      <c r="B154" s="582"/>
      <c r="C154" s="114"/>
      <c r="D154" s="114">
        <v>1</v>
      </c>
      <c r="E154" s="181">
        <v>40709</v>
      </c>
      <c r="F154" s="114">
        <v>8</v>
      </c>
      <c r="G154" s="202">
        <f t="shared" si="24"/>
        <v>1800</v>
      </c>
      <c r="H154" s="114">
        <v>24</v>
      </c>
      <c r="I154" s="202">
        <f t="shared" si="28"/>
        <v>533.33333333333337</v>
      </c>
      <c r="J154" s="328">
        <v>0.05</v>
      </c>
      <c r="K154" s="127"/>
      <c r="L154" s="203">
        <f t="shared" si="25"/>
        <v>48000</v>
      </c>
      <c r="M154" s="203">
        <f t="shared" si="26"/>
        <v>36000</v>
      </c>
      <c r="N154" s="205">
        <f t="shared" si="27"/>
        <v>5</v>
      </c>
      <c r="O154" s="127"/>
      <c r="P154" s="127"/>
      <c r="Q154" s="127"/>
      <c r="R154" s="127"/>
      <c r="S154" s="206"/>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row>
    <row r="155" spans="2:41" ht="13" x14ac:dyDescent="0.3">
      <c r="B155" s="582"/>
      <c r="C155" s="114"/>
      <c r="D155" s="114">
        <v>1</v>
      </c>
      <c r="E155" s="181">
        <v>40725</v>
      </c>
      <c r="F155" s="114">
        <v>6</v>
      </c>
      <c r="G155" s="202">
        <f t="shared" si="24"/>
        <v>1350</v>
      </c>
      <c r="H155" s="114">
        <v>26</v>
      </c>
      <c r="I155" s="202">
        <f t="shared" si="28"/>
        <v>266.66666666666669</v>
      </c>
      <c r="J155" s="328">
        <v>0.05</v>
      </c>
      <c r="K155" s="127"/>
      <c r="L155" s="203">
        <f t="shared" si="25"/>
        <v>52000</v>
      </c>
      <c r="M155" s="203">
        <f t="shared" si="26"/>
        <v>27000</v>
      </c>
      <c r="N155" s="205">
        <f t="shared" si="27"/>
        <v>5</v>
      </c>
      <c r="O155" s="127"/>
      <c r="P155" s="127"/>
      <c r="Q155" s="127"/>
      <c r="R155" s="127"/>
      <c r="S155" s="206"/>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row>
    <row r="156" spans="2:41" ht="13" x14ac:dyDescent="0.3">
      <c r="B156" s="582"/>
      <c r="C156" s="114"/>
      <c r="D156" s="114">
        <v>1</v>
      </c>
      <c r="E156" s="181">
        <v>40739</v>
      </c>
      <c r="F156" s="114">
        <v>5</v>
      </c>
      <c r="G156" s="202">
        <f t="shared" si="24"/>
        <v>1125</v>
      </c>
      <c r="H156" s="114">
        <v>26</v>
      </c>
      <c r="I156" s="202">
        <f t="shared" si="28"/>
        <v>0</v>
      </c>
      <c r="J156" s="328">
        <v>0.05</v>
      </c>
      <c r="K156" s="127"/>
      <c r="L156" s="203">
        <f t="shared" si="25"/>
        <v>52000</v>
      </c>
      <c r="M156" s="203">
        <f t="shared" si="26"/>
        <v>22500</v>
      </c>
      <c r="N156" s="205">
        <f t="shared" si="27"/>
        <v>5</v>
      </c>
      <c r="O156" s="127"/>
      <c r="P156" s="127"/>
      <c r="Q156" s="127"/>
      <c r="R156" s="127"/>
      <c r="S156" s="206"/>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row>
    <row r="157" spans="2:41" ht="13" x14ac:dyDescent="0.3">
      <c r="B157" s="582"/>
      <c r="C157" s="114"/>
      <c r="D157" s="114">
        <v>1</v>
      </c>
      <c r="E157" s="181">
        <v>40756</v>
      </c>
      <c r="F157" s="114">
        <v>4.5</v>
      </c>
      <c r="G157" s="202">
        <f t="shared" si="24"/>
        <v>1012.5</v>
      </c>
      <c r="H157" s="114">
        <v>25</v>
      </c>
      <c r="I157" s="202">
        <f t="shared" si="28"/>
        <v>-133.33333333333334</v>
      </c>
      <c r="J157" s="328">
        <v>0.05</v>
      </c>
      <c r="K157" s="127"/>
      <c r="L157" s="203">
        <f t="shared" si="25"/>
        <v>50000</v>
      </c>
      <c r="M157" s="203">
        <f t="shared" si="26"/>
        <v>20250</v>
      </c>
      <c r="N157" s="205">
        <f t="shared" si="27"/>
        <v>5</v>
      </c>
      <c r="O157" s="127"/>
      <c r="P157" s="127"/>
      <c r="Q157" s="127"/>
      <c r="R157" s="127"/>
      <c r="S157" s="206"/>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row>
    <row r="158" spans="2:41" ht="13" x14ac:dyDescent="0.3">
      <c r="B158" s="582"/>
      <c r="C158" s="114"/>
      <c r="D158" s="114">
        <v>1</v>
      </c>
      <c r="E158" s="181">
        <v>40770</v>
      </c>
      <c r="F158" s="114">
        <v>4</v>
      </c>
      <c r="G158" s="202">
        <f t="shared" si="24"/>
        <v>900</v>
      </c>
      <c r="H158" s="114">
        <v>20</v>
      </c>
      <c r="I158" s="202">
        <f t="shared" si="28"/>
        <v>-666.66666666666663</v>
      </c>
      <c r="J158" s="328">
        <v>0.05</v>
      </c>
      <c r="K158" s="127"/>
      <c r="L158" s="203">
        <f t="shared" si="25"/>
        <v>40000</v>
      </c>
      <c r="M158" s="203">
        <f t="shared" si="26"/>
        <v>18000</v>
      </c>
      <c r="N158" s="205">
        <f t="shared" si="27"/>
        <v>5</v>
      </c>
      <c r="O158" s="127"/>
      <c r="P158" s="127"/>
      <c r="Q158" s="127"/>
      <c r="R158" s="127"/>
      <c r="S158" s="206"/>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row>
    <row r="159" spans="2:41" ht="13" x14ac:dyDescent="0.3">
      <c r="B159" s="582"/>
      <c r="C159" s="114"/>
      <c r="D159" s="114"/>
      <c r="E159" s="181">
        <v>40787</v>
      </c>
      <c r="F159" s="114">
        <v>3.5</v>
      </c>
      <c r="G159" s="202">
        <f t="shared" si="24"/>
        <v>787.5</v>
      </c>
      <c r="H159" s="114">
        <v>14</v>
      </c>
      <c r="I159" s="202">
        <f t="shared" si="28"/>
        <v>-800</v>
      </c>
      <c r="J159" s="328">
        <v>0.02</v>
      </c>
      <c r="K159" s="127"/>
      <c r="L159" s="203">
        <f t="shared" si="25"/>
        <v>28000</v>
      </c>
      <c r="M159" s="203">
        <f t="shared" si="26"/>
        <v>15750</v>
      </c>
      <c r="N159" s="205">
        <f t="shared" si="27"/>
        <v>2</v>
      </c>
      <c r="O159" s="127"/>
      <c r="P159" s="127"/>
      <c r="Q159" s="127"/>
      <c r="R159" s="127"/>
      <c r="S159" s="206"/>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row>
    <row r="160" spans="2:41" ht="13" x14ac:dyDescent="0.3">
      <c r="B160" s="582"/>
      <c r="C160" s="114"/>
      <c r="D160" s="114"/>
      <c r="E160" s="181">
        <v>40801</v>
      </c>
      <c r="F160" s="114">
        <v>3</v>
      </c>
      <c r="G160" s="202">
        <f t="shared" si="24"/>
        <v>675</v>
      </c>
      <c r="H160" s="114">
        <v>12</v>
      </c>
      <c r="I160" s="202">
        <f t="shared" si="28"/>
        <v>-266.66666666666669</v>
      </c>
      <c r="J160" s="328">
        <v>0.02</v>
      </c>
      <c r="K160" s="127"/>
      <c r="L160" s="203">
        <f t="shared" si="25"/>
        <v>24000</v>
      </c>
      <c r="M160" s="203">
        <f t="shared" si="26"/>
        <v>13500</v>
      </c>
      <c r="N160" s="205">
        <f t="shared" si="27"/>
        <v>2</v>
      </c>
      <c r="O160" s="127"/>
      <c r="P160" s="127"/>
      <c r="Q160" s="127"/>
      <c r="R160" s="127"/>
      <c r="S160" s="206"/>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row>
    <row r="161" spans="2:41" ht="13" x14ac:dyDescent="0.3">
      <c r="B161" s="582"/>
      <c r="C161" s="114">
        <v>1</v>
      </c>
      <c r="D161" s="114"/>
      <c r="E161" s="181">
        <v>40817</v>
      </c>
      <c r="F161" s="114">
        <v>0.5</v>
      </c>
      <c r="G161" s="202">
        <f t="shared" si="24"/>
        <v>112.5</v>
      </c>
      <c r="H161" s="114">
        <v>10</v>
      </c>
      <c r="I161" s="202">
        <f t="shared" si="28"/>
        <v>-266.66666666666669</v>
      </c>
      <c r="J161" s="328">
        <v>0</v>
      </c>
      <c r="K161" s="127"/>
      <c r="L161" s="203">
        <f t="shared" si="25"/>
        <v>20000</v>
      </c>
      <c r="M161" s="203">
        <f t="shared" si="26"/>
        <v>2250</v>
      </c>
      <c r="N161" s="205">
        <f t="shared" si="27"/>
        <v>0</v>
      </c>
      <c r="O161" s="127"/>
      <c r="P161" s="127"/>
      <c r="Q161" s="127"/>
      <c r="R161" s="127"/>
      <c r="S161" s="206"/>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row>
    <row r="162" spans="2:41" ht="13" x14ac:dyDescent="0.3">
      <c r="B162" s="582"/>
      <c r="C162" s="114">
        <v>1</v>
      </c>
      <c r="D162" s="114"/>
      <c r="E162" s="181">
        <v>40831</v>
      </c>
      <c r="F162" s="114">
        <v>0.1</v>
      </c>
      <c r="G162" s="202">
        <f t="shared" si="24"/>
        <v>22.5</v>
      </c>
      <c r="H162" s="114">
        <v>9</v>
      </c>
      <c r="I162" s="202">
        <f t="shared" si="28"/>
        <v>-133.33333333333334</v>
      </c>
      <c r="J162" s="328">
        <v>0</v>
      </c>
      <c r="K162" s="127"/>
      <c r="L162" s="203">
        <f t="shared" si="25"/>
        <v>18000</v>
      </c>
      <c r="M162" s="203">
        <f t="shared" si="26"/>
        <v>450</v>
      </c>
      <c r="N162" s="205">
        <f t="shared" si="27"/>
        <v>0</v>
      </c>
      <c r="O162" s="127"/>
      <c r="P162" s="127"/>
      <c r="Q162" s="127"/>
      <c r="R162" s="127"/>
      <c r="S162" s="206"/>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row>
    <row r="163" spans="2:41" ht="13" x14ac:dyDescent="0.3">
      <c r="B163" s="582"/>
      <c r="C163" s="114">
        <v>1</v>
      </c>
      <c r="D163" s="114"/>
      <c r="E163" s="181">
        <v>40848</v>
      </c>
      <c r="F163" s="114"/>
      <c r="G163" s="202">
        <f t="shared" si="24"/>
        <v>0</v>
      </c>
      <c r="H163" s="114">
        <v>8</v>
      </c>
      <c r="I163" s="202">
        <f t="shared" si="28"/>
        <v>-133.33333333333334</v>
      </c>
      <c r="J163" s="328">
        <v>0</v>
      </c>
      <c r="K163" s="127"/>
      <c r="L163" s="203">
        <f t="shared" si="25"/>
        <v>16000</v>
      </c>
      <c r="M163" s="203">
        <f t="shared" si="26"/>
        <v>0</v>
      </c>
      <c r="N163" s="205">
        <f t="shared" si="27"/>
        <v>0</v>
      </c>
      <c r="O163" s="127"/>
      <c r="P163" s="127"/>
      <c r="Q163" s="127"/>
      <c r="R163" s="127"/>
      <c r="S163" s="206"/>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row>
    <row r="164" spans="2:41" ht="13" x14ac:dyDescent="0.3">
      <c r="B164" s="582"/>
      <c r="C164" s="114">
        <v>1</v>
      </c>
      <c r="D164" s="114"/>
      <c r="E164" s="181">
        <v>40862</v>
      </c>
      <c r="F164" s="114"/>
      <c r="G164" s="202">
        <f t="shared" si="24"/>
        <v>0</v>
      </c>
      <c r="H164" s="114">
        <v>8</v>
      </c>
      <c r="I164" s="202">
        <f t="shared" si="28"/>
        <v>0</v>
      </c>
      <c r="J164" s="328">
        <v>0</v>
      </c>
      <c r="K164" s="127"/>
      <c r="L164" s="203">
        <f t="shared" si="25"/>
        <v>16000</v>
      </c>
      <c r="M164" s="203">
        <f t="shared" si="26"/>
        <v>0</v>
      </c>
      <c r="N164" s="205">
        <f t="shared" si="27"/>
        <v>0</v>
      </c>
      <c r="O164" s="127"/>
      <c r="P164" s="127"/>
      <c r="Q164" s="127"/>
      <c r="R164" s="127"/>
      <c r="S164" s="206"/>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row>
    <row r="165" spans="2:41" ht="13" x14ac:dyDescent="0.3">
      <c r="B165" s="582"/>
      <c r="C165" s="114">
        <v>1</v>
      </c>
      <c r="D165" s="114"/>
      <c r="E165" s="181">
        <v>40878</v>
      </c>
      <c r="F165" s="114"/>
      <c r="G165" s="202">
        <f t="shared" si="24"/>
        <v>0</v>
      </c>
      <c r="H165" s="114">
        <v>8</v>
      </c>
      <c r="I165" s="202">
        <f t="shared" si="28"/>
        <v>0</v>
      </c>
      <c r="J165" s="328">
        <v>0</v>
      </c>
      <c r="K165" s="127"/>
      <c r="L165" s="203">
        <f t="shared" si="25"/>
        <v>16000</v>
      </c>
      <c r="M165" s="203">
        <f t="shared" si="26"/>
        <v>0</v>
      </c>
      <c r="N165" s="205">
        <f t="shared" si="27"/>
        <v>0</v>
      </c>
      <c r="O165" s="127"/>
      <c r="P165" s="127"/>
      <c r="Q165" s="127"/>
      <c r="R165" s="127"/>
      <c r="S165" s="206"/>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row>
    <row r="166" spans="2:41" ht="13" x14ac:dyDescent="0.3">
      <c r="B166" s="582"/>
      <c r="C166" s="114">
        <v>1</v>
      </c>
      <c r="D166" s="114"/>
      <c r="E166" s="181">
        <v>40892</v>
      </c>
      <c r="F166" s="114"/>
      <c r="G166" s="207">
        <f t="shared" si="24"/>
        <v>0</v>
      </c>
      <c r="H166" s="114">
        <v>8</v>
      </c>
      <c r="I166" s="202">
        <f t="shared" si="28"/>
        <v>0</v>
      </c>
      <c r="J166" s="328">
        <v>0</v>
      </c>
      <c r="K166" s="127"/>
      <c r="L166" s="203">
        <f t="shared" si="25"/>
        <v>16000</v>
      </c>
      <c r="M166" s="203">
        <f t="shared" si="26"/>
        <v>0</v>
      </c>
      <c r="N166" s="205">
        <f t="shared" si="27"/>
        <v>0</v>
      </c>
      <c r="O166" s="127"/>
      <c r="P166" s="127"/>
      <c r="Q166" s="127"/>
      <c r="R166" s="127"/>
      <c r="S166" s="206"/>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row>
    <row r="167" spans="2:41" ht="13" x14ac:dyDescent="0.3">
      <c r="B167" s="127"/>
      <c r="C167" s="152"/>
      <c r="D167" s="150"/>
      <c r="E167" s="311">
        <v>43100</v>
      </c>
      <c r="F167" s="114"/>
      <c r="G167" s="297">
        <f>H143</f>
        <v>8</v>
      </c>
      <c r="H167" s="297">
        <v>8</v>
      </c>
      <c r="I167" s="297">
        <f>J143</f>
        <v>0</v>
      </c>
      <c r="J167" s="330">
        <f>K143</f>
        <v>0</v>
      </c>
      <c r="K167" s="297"/>
      <c r="L167" s="297">
        <f>M143</f>
        <v>193.49999999999997</v>
      </c>
      <c r="M167" s="297">
        <f>N143</f>
        <v>0</v>
      </c>
      <c r="N167" s="312">
        <f>O143</f>
        <v>0</v>
      </c>
      <c r="O167" s="127"/>
      <c r="P167" s="127"/>
      <c r="Q167" s="127"/>
      <c r="R167" s="127"/>
      <c r="S167" s="206"/>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row>
    <row r="168" spans="2:41" x14ac:dyDescent="0.25">
      <c r="B168" s="127"/>
      <c r="E168" s="127"/>
      <c r="G168" s="127"/>
      <c r="I168" s="127"/>
      <c r="K168" s="127"/>
      <c r="L168" s="127"/>
      <c r="M168" s="127"/>
      <c r="N168" s="127"/>
      <c r="O168" s="127"/>
      <c r="P168" s="127"/>
      <c r="Q168" s="127"/>
      <c r="R168" s="127"/>
      <c r="S168" s="206"/>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row>
    <row r="169" spans="2:41" x14ac:dyDescent="0.25">
      <c r="B169" s="127"/>
      <c r="D169" s="150"/>
      <c r="E169" s="127"/>
      <c r="G169" s="127"/>
      <c r="I169" s="127"/>
      <c r="K169" s="127"/>
      <c r="L169" s="127"/>
      <c r="M169" s="127"/>
      <c r="N169" s="127"/>
      <c r="O169" s="127"/>
      <c r="P169" s="127"/>
      <c r="Q169" s="127"/>
      <c r="R169" s="127"/>
      <c r="S169" s="206"/>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row>
    <row r="170" spans="2:41" ht="191.25" customHeight="1" x14ac:dyDescent="0.45">
      <c r="B170" s="209" t="s">
        <v>163</v>
      </c>
      <c r="C170" s="151" t="s">
        <v>45</v>
      </c>
      <c r="D170" s="151" t="s">
        <v>46</v>
      </c>
      <c r="E170" s="195" t="s">
        <v>38</v>
      </c>
      <c r="F170" s="154" t="s">
        <v>39</v>
      </c>
      <c r="G170" s="197" t="s">
        <v>84</v>
      </c>
      <c r="H170" s="155" t="s">
        <v>86</v>
      </c>
      <c r="I170" s="199" t="s">
        <v>85</v>
      </c>
      <c r="J170" s="332" t="s">
        <v>40</v>
      </c>
      <c r="K170" s="127"/>
      <c r="L170" s="198" t="s">
        <v>42</v>
      </c>
      <c r="M170" s="196" t="s">
        <v>43</v>
      </c>
      <c r="N170" s="200" t="s">
        <v>87</v>
      </c>
      <c r="O170" s="210"/>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row>
    <row r="171" spans="2:41" ht="13" x14ac:dyDescent="0.3">
      <c r="B171" s="582"/>
      <c r="C171" s="114">
        <v>1</v>
      </c>
      <c r="D171" s="114"/>
      <c r="E171" s="181">
        <v>40544</v>
      </c>
      <c r="F171" s="153">
        <v>0.5</v>
      </c>
      <c r="G171" s="202">
        <f>M171/20</f>
        <v>112.5</v>
      </c>
      <c r="H171" s="153">
        <v>6</v>
      </c>
      <c r="I171" s="202"/>
      <c r="J171" s="160">
        <v>0</v>
      </c>
      <c r="K171" s="127"/>
      <c r="L171" s="203">
        <f t="shared" ref="L171:L194" si="29">H171*$M$2</f>
        <v>12000</v>
      </c>
      <c r="M171" s="203">
        <f t="shared" ref="M171:M194" si="30">F171*$M$3</f>
        <v>2250</v>
      </c>
      <c r="N171" s="127">
        <f t="shared" ref="N171:N194" si="31">J171*100</f>
        <v>0</v>
      </c>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row>
    <row r="172" spans="2:41" ht="13" x14ac:dyDescent="0.3">
      <c r="B172" s="582"/>
      <c r="C172" s="114">
        <v>1</v>
      </c>
      <c r="D172" s="114">
        <v>1</v>
      </c>
      <c r="E172" s="181">
        <v>40558</v>
      </c>
      <c r="F172" s="153">
        <v>2.5</v>
      </c>
      <c r="G172" s="202">
        <f t="shared" ref="G172:G195" si="32">M172/20</f>
        <v>562.5</v>
      </c>
      <c r="H172" s="153">
        <v>5.5</v>
      </c>
      <c r="I172" s="202">
        <f t="shared" ref="I172:I194" si="33">(L172-L171)/15</f>
        <v>-66.666666666666671</v>
      </c>
      <c r="J172" s="160">
        <v>0</v>
      </c>
      <c r="K172" s="127"/>
      <c r="L172" s="203">
        <f t="shared" si="29"/>
        <v>11000</v>
      </c>
      <c r="M172" s="203">
        <f t="shared" si="30"/>
        <v>11250</v>
      </c>
      <c r="N172" s="127">
        <f t="shared" si="31"/>
        <v>0</v>
      </c>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row>
    <row r="173" spans="2:41" ht="13" x14ac:dyDescent="0.3">
      <c r="B173" s="582"/>
      <c r="C173" s="114">
        <v>1</v>
      </c>
      <c r="D173" s="114">
        <v>1</v>
      </c>
      <c r="E173" s="181">
        <v>40575</v>
      </c>
      <c r="F173" s="153">
        <v>4.5</v>
      </c>
      <c r="G173" s="202">
        <f t="shared" si="32"/>
        <v>1012.5</v>
      </c>
      <c r="H173" s="153">
        <v>6</v>
      </c>
      <c r="I173" s="202">
        <f t="shared" si="33"/>
        <v>66.666666666666671</v>
      </c>
      <c r="J173" s="160">
        <v>0.02</v>
      </c>
      <c r="K173" s="127"/>
      <c r="L173" s="203">
        <f t="shared" si="29"/>
        <v>12000</v>
      </c>
      <c r="M173" s="203">
        <f t="shared" si="30"/>
        <v>20250</v>
      </c>
      <c r="N173" s="127">
        <f t="shared" si="31"/>
        <v>2</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row>
    <row r="174" spans="2:41" ht="13" x14ac:dyDescent="0.3">
      <c r="B174" s="582"/>
      <c r="C174" s="114">
        <v>1</v>
      </c>
      <c r="D174" s="114">
        <v>1</v>
      </c>
      <c r="E174" s="181">
        <v>40589</v>
      </c>
      <c r="F174" s="153">
        <v>5.5</v>
      </c>
      <c r="G174" s="202">
        <f t="shared" si="32"/>
        <v>1237.5</v>
      </c>
      <c r="H174" s="153">
        <v>8</v>
      </c>
      <c r="I174" s="202">
        <f t="shared" si="33"/>
        <v>266.66666666666669</v>
      </c>
      <c r="J174" s="160">
        <v>0.02</v>
      </c>
      <c r="K174" s="127"/>
      <c r="L174" s="203">
        <f t="shared" si="29"/>
        <v>16000</v>
      </c>
      <c r="M174" s="203">
        <f t="shared" si="30"/>
        <v>24750</v>
      </c>
      <c r="N174" s="127">
        <f t="shared" si="31"/>
        <v>2</v>
      </c>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row>
    <row r="175" spans="2:41" ht="13" x14ac:dyDescent="0.3">
      <c r="B175" s="582"/>
      <c r="C175" s="114">
        <v>1</v>
      </c>
      <c r="D175" s="114">
        <v>1</v>
      </c>
      <c r="E175" s="181">
        <v>40603</v>
      </c>
      <c r="F175" s="153">
        <v>7</v>
      </c>
      <c r="G175" s="202">
        <f t="shared" si="32"/>
        <v>1575</v>
      </c>
      <c r="H175" s="153">
        <v>11</v>
      </c>
      <c r="I175" s="202">
        <f t="shared" si="33"/>
        <v>400</v>
      </c>
      <c r="J175" s="160">
        <v>0.03</v>
      </c>
      <c r="K175" s="127"/>
      <c r="L175" s="203">
        <f t="shared" si="29"/>
        <v>22000</v>
      </c>
      <c r="M175" s="203">
        <f t="shared" si="30"/>
        <v>31500</v>
      </c>
      <c r="N175" s="127">
        <f t="shared" si="31"/>
        <v>3</v>
      </c>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row>
    <row r="176" spans="2:41" ht="13" x14ac:dyDescent="0.3">
      <c r="B176" s="582"/>
      <c r="C176" s="114"/>
      <c r="D176" s="114">
        <v>1</v>
      </c>
      <c r="E176" s="181">
        <v>40617</v>
      </c>
      <c r="F176" s="153">
        <v>8</v>
      </c>
      <c r="G176" s="202">
        <f t="shared" si="32"/>
        <v>1800</v>
      </c>
      <c r="H176" s="153">
        <v>16</v>
      </c>
      <c r="I176" s="202">
        <f t="shared" si="33"/>
        <v>666.66666666666663</v>
      </c>
      <c r="J176" s="160">
        <v>0.08</v>
      </c>
      <c r="K176" s="127"/>
      <c r="L176" s="203">
        <f t="shared" si="29"/>
        <v>32000</v>
      </c>
      <c r="M176" s="203">
        <f t="shared" si="30"/>
        <v>36000</v>
      </c>
      <c r="N176" s="127">
        <f t="shared" si="31"/>
        <v>8</v>
      </c>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row>
    <row r="177" spans="2:41" ht="13" x14ac:dyDescent="0.3">
      <c r="B177" s="582"/>
      <c r="C177" s="114"/>
      <c r="D177" s="114">
        <v>1</v>
      </c>
      <c r="E177" s="181">
        <v>40634</v>
      </c>
      <c r="F177" s="153">
        <v>10</v>
      </c>
      <c r="G177" s="202">
        <f t="shared" si="32"/>
        <v>2250</v>
      </c>
      <c r="H177" s="153">
        <v>20</v>
      </c>
      <c r="I177" s="202">
        <f t="shared" si="33"/>
        <v>533.33333333333337</v>
      </c>
      <c r="J177" s="160">
        <v>0.1</v>
      </c>
      <c r="K177" s="127"/>
      <c r="L177" s="203">
        <f t="shared" si="29"/>
        <v>40000</v>
      </c>
      <c r="M177" s="203">
        <f t="shared" si="30"/>
        <v>45000</v>
      </c>
      <c r="N177" s="127">
        <f t="shared" si="31"/>
        <v>10</v>
      </c>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row>
    <row r="178" spans="2:41" ht="13" x14ac:dyDescent="0.3">
      <c r="B178" s="582"/>
      <c r="C178" s="114"/>
      <c r="D178" s="114">
        <v>1</v>
      </c>
      <c r="E178" s="181">
        <v>40648</v>
      </c>
      <c r="F178" s="153">
        <v>9</v>
      </c>
      <c r="G178" s="202">
        <f t="shared" si="32"/>
        <v>2025</v>
      </c>
      <c r="H178" s="153">
        <v>15</v>
      </c>
      <c r="I178" s="202">
        <f t="shared" si="33"/>
        <v>-666.66666666666663</v>
      </c>
      <c r="J178" s="160">
        <v>0.15</v>
      </c>
      <c r="K178" s="127"/>
      <c r="L178" s="203">
        <f t="shared" si="29"/>
        <v>30000</v>
      </c>
      <c r="M178" s="203">
        <f t="shared" si="30"/>
        <v>40500</v>
      </c>
      <c r="N178" s="127">
        <f t="shared" si="31"/>
        <v>15</v>
      </c>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row>
    <row r="179" spans="2:41" ht="13" x14ac:dyDescent="0.3">
      <c r="B179" s="582"/>
      <c r="C179" s="114"/>
      <c r="D179" s="114">
        <v>1</v>
      </c>
      <c r="E179" s="181">
        <v>40664</v>
      </c>
      <c r="F179" s="153">
        <v>9</v>
      </c>
      <c r="G179" s="202">
        <f t="shared" si="32"/>
        <v>2025</v>
      </c>
      <c r="H179" s="153">
        <v>15</v>
      </c>
      <c r="I179" s="202">
        <f t="shared" si="33"/>
        <v>0</v>
      </c>
      <c r="J179" s="160">
        <v>0.1</v>
      </c>
      <c r="K179" s="127"/>
      <c r="L179" s="203">
        <f t="shared" si="29"/>
        <v>30000</v>
      </c>
      <c r="M179" s="203">
        <f t="shared" si="30"/>
        <v>40500</v>
      </c>
      <c r="N179" s="127">
        <f t="shared" si="31"/>
        <v>10</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row>
    <row r="180" spans="2:41" ht="13" x14ac:dyDescent="0.3">
      <c r="B180" s="582"/>
      <c r="C180" s="114"/>
      <c r="D180" s="114">
        <v>1</v>
      </c>
      <c r="E180" s="181">
        <v>40678</v>
      </c>
      <c r="F180" s="153">
        <v>10</v>
      </c>
      <c r="G180" s="202">
        <f t="shared" si="32"/>
        <v>2250</v>
      </c>
      <c r="H180" s="153">
        <v>20</v>
      </c>
      <c r="I180" s="202">
        <f t="shared" si="33"/>
        <v>666.66666666666663</v>
      </c>
      <c r="J180" s="160">
        <v>0.1</v>
      </c>
      <c r="K180" s="127"/>
      <c r="L180" s="203">
        <f t="shared" si="29"/>
        <v>40000</v>
      </c>
      <c r="M180" s="203">
        <f t="shared" si="30"/>
        <v>45000</v>
      </c>
      <c r="N180" s="127">
        <f t="shared" si="31"/>
        <v>10</v>
      </c>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row>
    <row r="181" spans="2:41" ht="13" x14ac:dyDescent="0.3">
      <c r="B181" s="582"/>
      <c r="C181" s="114"/>
      <c r="D181" s="114">
        <v>1</v>
      </c>
      <c r="E181" s="181">
        <v>40695</v>
      </c>
      <c r="F181" s="153">
        <v>10</v>
      </c>
      <c r="G181" s="202">
        <f t="shared" si="32"/>
        <v>2250</v>
      </c>
      <c r="H181" s="153">
        <v>23</v>
      </c>
      <c r="I181" s="202">
        <f t="shared" si="33"/>
        <v>400</v>
      </c>
      <c r="J181" s="160">
        <v>0.05</v>
      </c>
      <c r="K181" s="127"/>
      <c r="L181" s="203">
        <f t="shared" si="29"/>
        <v>46000</v>
      </c>
      <c r="M181" s="203">
        <f t="shared" si="30"/>
        <v>45000</v>
      </c>
      <c r="N181" s="127">
        <f t="shared" si="31"/>
        <v>5</v>
      </c>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row>
    <row r="182" spans="2:41" ht="13" x14ac:dyDescent="0.3">
      <c r="B182" s="582"/>
      <c r="C182" s="114"/>
      <c r="D182" s="114">
        <v>1</v>
      </c>
      <c r="E182" s="181">
        <v>40709</v>
      </c>
      <c r="F182" s="153">
        <v>9</v>
      </c>
      <c r="G182" s="202">
        <f t="shared" si="32"/>
        <v>2025</v>
      </c>
      <c r="H182" s="153">
        <v>25</v>
      </c>
      <c r="I182" s="202">
        <f t="shared" si="33"/>
        <v>266.66666666666669</v>
      </c>
      <c r="J182" s="160">
        <v>0.05</v>
      </c>
      <c r="K182" s="127"/>
      <c r="L182" s="203">
        <f t="shared" si="29"/>
        <v>50000</v>
      </c>
      <c r="M182" s="203">
        <f t="shared" si="30"/>
        <v>40500</v>
      </c>
      <c r="N182" s="127">
        <f t="shared" si="31"/>
        <v>5</v>
      </c>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row>
    <row r="183" spans="2:41" ht="13" x14ac:dyDescent="0.3">
      <c r="B183" s="582"/>
      <c r="C183" s="114"/>
      <c r="D183" s="114"/>
      <c r="E183" s="181">
        <v>40725</v>
      </c>
      <c r="F183" s="153">
        <v>6</v>
      </c>
      <c r="G183" s="202">
        <f t="shared" si="32"/>
        <v>1350</v>
      </c>
      <c r="H183" s="153">
        <v>24</v>
      </c>
      <c r="I183" s="202">
        <f t="shared" si="33"/>
        <v>-133.33333333333334</v>
      </c>
      <c r="J183" s="160">
        <v>0.05</v>
      </c>
      <c r="K183" s="127"/>
      <c r="L183" s="203">
        <f t="shared" si="29"/>
        <v>48000</v>
      </c>
      <c r="M183" s="203">
        <f t="shared" si="30"/>
        <v>27000</v>
      </c>
      <c r="N183" s="127">
        <f t="shared" si="31"/>
        <v>5</v>
      </c>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row>
    <row r="184" spans="2:41" ht="13" x14ac:dyDescent="0.3">
      <c r="B184" s="582"/>
      <c r="C184" s="114"/>
      <c r="D184" s="114"/>
      <c r="E184" s="181">
        <v>40739</v>
      </c>
      <c r="F184" s="153">
        <v>5</v>
      </c>
      <c r="G184" s="202">
        <f t="shared" si="32"/>
        <v>1125</v>
      </c>
      <c r="H184" s="153">
        <v>23</v>
      </c>
      <c r="I184" s="202">
        <f t="shared" si="33"/>
        <v>-133.33333333333334</v>
      </c>
      <c r="J184" s="160">
        <v>0.02</v>
      </c>
      <c r="K184" s="127"/>
      <c r="L184" s="203">
        <f t="shared" si="29"/>
        <v>46000</v>
      </c>
      <c r="M184" s="203">
        <f t="shared" si="30"/>
        <v>22500</v>
      </c>
      <c r="N184" s="127">
        <f t="shared" si="31"/>
        <v>2</v>
      </c>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row>
    <row r="185" spans="2:41" ht="13" x14ac:dyDescent="0.3">
      <c r="B185" s="582"/>
      <c r="C185" s="114"/>
      <c r="D185" s="114"/>
      <c r="E185" s="181">
        <v>40756</v>
      </c>
      <c r="F185" s="153">
        <v>4.5</v>
      </c>
      <c r="G185" s="202">
        <f t="shared" si="32"/>
        <v>1012.5</v>
      </c>
      <c r="H185" s="153">
        <v>20</v>
      </c>
      <c r="I185" s="202">
        <f t="shared" si="33"/>
        <v>-400</v>
      </c>
      <c r="J185" s="160">
        <v>0.02</v>
      </c>
      <c r="K185" s="127"/>
      <c r="L185" s="203">
        <f t="shared" si="29"/>
        <v>40000</v>
      </c>
      <c r="M185" s="203">
        <f t="shared" si="30"/>
        <v>20250</v>
      </c>
      <c r="N185" s="127">
        <f t="shared" si="31"/>
        <v>2</v>
      </c>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row>
    <row r="186" spans="2:41" ht="13" x14ac:dyDescent="0.3">
      <c r="B186" s="582"/>
      <c r="C186" s="114"/>
      <c r="D186" s="114"/>
      <c r="E186" s="181">
        <v>40770</v>
      </c>
      <c r="F186" s="153">
        <v>4</v>
      </c>
      <c r="G186" s="202">
        <f t="shared" si="32"/>
        <v>900</v>
      </c>
      <c r="H186" s="153">
        <v>17</v>
      </c>
      <c r="I186" s="202">
        <f t="shared" si="33"/>
        <v>-400</v>
      </c>
      <c r="J186" s="160">
        <v>0.02</v>
      </c>
      <c r="K186" s="127"/>
      <c r="L186" s="203">
        <f t="shared" si="29"/>
        <v>34000</v>
      </c>
      <c r="M186" s="203">
        <f t="shared" si="30"/>
        <v>18000</v>
      </c>
      <c r="N186" s="127">
        <f t="shared" si="31"/>
        <v>2</v>
      </c>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row>
    <row r="187" spans="2:41" ht="13" x14ac:dyDescent="0.3">
      <c r="B187" s="582"/>
      <c r="C187" s="114"/>
      <c r="D187" s="114"/>
      <c r="E187" s="181">
        <v>40787</v>
      </c>
      <c r="F187" s="153">
        <v>3.5</v>
      </c>
      <c r="G187" s="202">
        <f t="shared" si="32"/>
        <v>787.5</v>
      </c>
      <c r="H187" s="153">
        <v>14</v>
      </c>
      <c r="I187" s="202">
        <f t="shared" si="33"/>
        <v>-400</v>
      </c>
      <c r="J187" s="160">
        <v>0.01</v>
      </c>
      <c r="K187" s="127"/>
      <c r="L187" s="203">
        <f t="shared" si="29"/>
        <v>28000</v>
      </c>
      <c r="M187" s="203">
        <f t="shared" si="30"/>
        <v>15750</v>
      </c>
      <c r="N187" s="127">
        <f t="shared" si="31"/>
        <v>1</v>
      </c>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row>
    <row r="188" spans="2:41" ht="13" x14ac:dyDescent="0.3">
      <c r="B188" s="582"/>
      <c r="C188" s="114"/>
      <c r="D188" s="114"/>
      <c r="E188" s="181">
        <v>40801</v>
      </c>
      <c r="F188" s="153">
        <v>4</v>
      </c>
      <c r="G188" s="202">
        <f t="shared" si="32"/>
        <v>900</v>
      </c>
      <c r="H188" s="153">
        <v>12</v>
      </c>
      <c r="I188" s="202">
        <f t="shared" si="33"/>
        <v>-266.66666666666669</v>
      </c>
      <c r="J188" s="160">
        <v>0.01</v>
      </c>
      <c r="K188" s="127"/>
      <c r="L188" s="203">
        <f t="shared" si="29"/>
        <v>24000</v>
      </c>
      <c r="M188" s="203">
        <f t="shared" si="30"/>
        <v>18000</v>
      </c>
      <c r="N188" s="127">
        <f t="shared" si="31"/>
        <v>1</v>
      </c>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row>
    <row r="189" spans="2:41" ht="13" x14ac:dyDescent="0.3">
      <c r="B189" s="582"/>
      <c r="C189" s="114"/>
      <c r="D189" s="114">
        <v>1</v>
      </c>
      <c r="E189" s="181">
        <v>40817</v>
      </c>
      <c r="F189" s="153">
        <v>5</v>
      </c>
      <c r="G189" s="202">
        <f t="shared" si="32"/>
        <v>1125</v>
      </c>
      <c r="H189" s="153">
        <v>10</v>
      </c>
      <c r="I189" s="202">
        <f t="shared" si="33"/>
        <v>-266.66666666666669</v>
      </c>
      <c r="J189" s="160">
        <v>0</v>
      </c>
      <c r="K189" s="127"/>
      <c r="L189" s="203">
        <f t="shared" si="29"/>
        <v>20000</v>
      </c>
      <c r="M189" s="203">
        <f t="shared" si="30"/>
        <v>22500</v>
      </c>
      <c r="N189" s="127">
        <f t="shared" si="31"/>
        <v>0</v>
      </c>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row>
    <row r="190" spans="2:41" ht="13" x14ac:dyDescent="0.3">
      <c r="B190" s="582"/>
      <c r="C190" s="114"/>
      <c r="D190" s="114">
        <v>1</v>
      </c>
      <c r="E190" s="181">
        <v>40831</v>
      </c>
      <c r="F190" s="153">
        <v>4</v>
      </c>
      <c r="G190" s="202">
        <f t="shared" si="32"/>
        <v>900</v>
      </c>
      <c r="H190" s="153">
        <v>9</v>
      </c>
      <c r="I190" s="202">
        <f t="shared" si="33"/>
        <v>-133.33333333333334</v>
      </c>
      <c r="J190" s="160">
        <v>0</v>
      </c>
      <c r="K190" s="127"/>
      <c r="L190" s="203">
        <f t="shared" si="29"/>
        <v>18000</v>
      </c>
      <c r="M190" s="203">
        <f t="shared" si="30"/>
        <v>18000</v>
      </c>
      <c r="N190" s="127">
        <f t="shared" si="31"/>
        <v>0</v>
      </c>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row>
    <row r="191" spans="2:41" ht="13" x14ac:dyDescent="0.3">
      <c r="B191" s="582"/>
      <c r="C191" s="114">
        <v>1</v>
      </c>
      <c r="D191" s="114"/>
      <c r="E191" s="181">
        <v>40848</v>
      </c>
      <c r="F191" s="153">
        <v>1</v>
      </c>
      <c r="G191" s="202">
        <f t="shared" si="32"/>
        <v>225</v>
      </c>
      <c r="H191" s="153">
        <v>8</v>
      </c>
      <c r="I191" s="202">
        <f t="shared" si="33"/>
        <v>-133.33333333333334</v>
      </c>
      <c r="J191" s="160">
        <v>0</v>
      </c>
      <c r="K191" s="127"/>
      <c r="L191" s="203">
        <f t="shared" si="29"/>
        <v>16000</v>
      </c>
      <c r="M191" s="203">
        <f t="shared" si="30"/>
        <v>4500</v>
      </c>
      <c r="N191" s="127">
        <f t="shared" si="31"/>
        <v>0</v>
      </c>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row>
    <row r="192" spans="2:41" ht="13" x14ac:dyDescent="0.3">
      <c r="B192" s="582"/>
      <c r="C192" s="114">
        <v>1</v>
      </c>
      <c r="D192" s="114"/>
      <c r="E192" s="181">
        <v>40862</v>
      </c>
      <c r="F192" s="153">
        <v>0</v>
      </c>
      <c r="G192" s="202">
        <f t="shared" si="32"/>
        <v>0</v>
      </c>
      <c r="H192" s="153">
        <v>7</v>
      </c>
      <c r="I192" s="202">
        <f t="shared" si="33"/>
        <v>-133.33333333333334</v>
      </c>
      <c r="J192" s="160">
        <v>0</v>
      </c>
      <c r="K192" s="127"/>
      <c r="L192" s="203">
        <f t="shared" si="29"/>
        <v>14000</v>
      </c>
      <c r="M192" s="203">
        <f t="shared" si="30"/>
        <v>0</v>
      </c>
      <c r="N192" s="127">
        <f t="shared" si="31"/>
        <v>0</v>
      </c>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row>
    <row r="193" spans="2:41" ht="13" x14ac:dyDescent="0.3">
      <c r="B193" s="582"/>
      <c r="C193" s="114">
        <v>1</v>
      </c>
      <c r="D193" s="114"/>
      <c r="E193" s="181">
        <v>40878</v>
      </c>
      <c r="F193" s="153">
        <v>0</v>
      </c>
      <c r="G193" s="202">
        <f t="shared" si="32"/>
        <v>0</v>
      </c>
      <c r="H193" s="153">
        <v>6</v>
      </c>
      <c r="I193" s="202">
        <f t="shared" si="33"/>
        <v>-133.33333333333334</v>
      </c>
      <c r="J193" s="160">
        <v>0</v>
      </c>
      <c r="K193" s="127"/>
      <c r="L193" s="203">
        <f t="shared" si="29"/>
        <v>12000</v>
      </c>
      <c r="M193" s="203">
        <f t="shared" si="30"/>
        <v>0</v>
      </c>
      <c r="N193" s="127">
        <f t="shared" si="31"/>
        <v>0</v>
      </c>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row>
    <row r="194" spans="2:41" ht="13" x14ac:dyDescent="0.3">
      <c r="B194" s="582"/>
      <c r="C194" s="114">
        <v>1</v>
      </c>
      <c r="D194" s="114"/>
      <c r="E194" s="181">
        <v>40892</v>
      </c>
      <c r="F194" s="153">
        <v>0</v>
      </c>
      <c r="G194" s="202">
        <f t="shared" si="32"/>
        <v>0</v>
      </c>
      <c r="H194" s="153">
        <v>6</v>
      </c>
      <c r="I194" s="202">
        <f t="shared" si="33"/>
        <v>0</v>
      </c>
      <c r="J194" s="160">
        <v>0</v>
      </c>
      <c r="K194" s="127"/>
      <c r="L194" s="203">
        <f t="shared" si="29"/>
        <v>12000</v>
      </c>
      <c r="M194" s="203">
        <f t="shared" si="30"/>
        <v>0</v>
      </c>
      <c r="N194" s="127">
        <f t="shared" si="31"/>
        <v>0</v>
      </c>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row>
    <row r="195" spans="2:41" x14ac:dyDescent="0.25">
      <c r="B195" s="127"/>
      <c r="E195" s="311">
        <v>43100</v>
      </c>
      <c r="F195" s="297">
        <v>0</v>
      </c>
      <c r="G195" s="202">
        <f t="shared" si="32"/>
        <v>0</v>
      </c>
      <c r="H195" s="297">
        <v>6</v>
      </c>
      <c r="I195" s="297">
        <f>J171</f>
        <v>0</v>
      </c>
      <c r="J195" s="330">
        <f>K171</f>
        <v>0</v>
      </c>
      <c r="K195" s="297"/>
      <c r="L195" s="297">
        <f>M171</f>
        <v>2250</v>
      </c>
      <c r="M195" s="297">
        <f>N171</f>
        <v>0</v>
      </c>
      <c r="N195" s="312">
        <f>O171</f>
        <v>0</v>
      </c>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row>
    <row r="196" spans="2:41" x14ac:dyDescent="0.25">
      <c r="B196" s="127"/>
      <c r="D196" s="150"/>
      <c r="E196" s="127"/>
      <c r="G196" s="127"/>
      <c r="I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row>
    <row r="197" spans="2:41" x14ac:dyDescent="0.25">
      <c r="B197" s="127"/>
      <c r="E197" s="127"/>
      <c r="G197" s="127"/>
      <c r="I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row>
    <row r="198" spans="2:41" ht="102" customHeight="1" x14ac:dyDescent="0.25">
      <c r="B198" s="193" t="s">
        <v>231</v>
      </c>
      <c r="C198" s="151" t="s">
        <v>45</v>
      </c>
      <c r="D198" s="151" t="s">
        <v>46</v>
      </c>
      <c r="E198" s="195" t="s">
        <v>38</v>
      </c>
      <c r="F198" s="154" t="s">
        <v>39</v>
      </c>
      <c r="G198" s="197" t="s">
        <v>84</v>
      </c>
      <c r="H198" s="155" t="s">
        <v>86</v>
      </c>
      <c r="I198" s="199" t="s">
        <v>85</v>
      </c>
      <c r="J198" s="332" t="s">
        <v>40</v>
      </c>
      <c r="K198" s="127"/>
      <c r="L198" s="198" t="s">
        <v>42</v>
      </c>
      <c r="M198" s="196" t="s">
        <v>43</v>
      </c>
      <c r="N198" s="200" t="s">
        <v>87</v>
      </c>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row>
    <row r="199" spans="2:41" x14ac:dyDescent="0.25">
      <c r="B199" s="585" t="s">
        <v>83</v>
      </c>
      <c r="C199" s="153">
        <v>1</v>
      </c>
      <c r="D199" s="153"/>
      <c r="E199" s="181">
        <v>40544</v>
      </c>
      <c r="F199" s="153">
        <v>0.5</v>
      </c>
      <c r="G199" s="202">
        <f t="shared" ref="G199:G222" si="34">M199/20</f>
        <v>112.5</v>
      </c>
      <c r="H199" s="153">
        <v>8</v>
      </c>
      <c r="I199" s="127"/>
      <c r="J199" s="160">
        <v>0</v>
      </c>
      <c r="K199" s="127"/>
      <c r="L199" s="203">
        <f t="shared" ref="L199:L222" si="35">H199*$M$2</f>
        <v>16000</v>
      </c>
      <c r="M199" s="203">
        <f t="shared" ref="M199:M222" si="36">F199*$M$3</f>
        <v>2250</v>
      </c>
      <c r="N199" s="205">
        <f t="shared" ref="N199:N222" si="37">J199*100</f>
        <v>0</v>
      </c>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row>
    <row r="200" spans="2:41" x14ac:dyDescent="0.25">
      <c r="B200" s="585"/>
      <c r="C200" s="153">
        <v>1</v>
      </c>
      <c r="D200" s="153">
        <v>1</v>
      </c>
      <c r="E200" s="181">
        <v>40558</v>
      </c>
      <c r="F200" s="153">
        <v>2.5</v>
      </c>
      <c r="G200" s="202">
        <f t="shared" si="34"/>
        <v>562.5</v>
      </c>
      <c r="H200" s="153">
        <v>8</v>
      </c>
      <c r="I200" s="202">
        <f t="shared" ref="I200:I222" si="38">(L200-L199)/15</f>
        <v>0</v>
      </c>
      <c r="J200" s="160">
        <v>0</v>
      </c>
      <c r="K200" s="127"/>
      <c r="L200" s="203">
        <f t="shared" si="35"/>
        <v>16000</v>
      </c>
      <c r="M200" s="203">
        <f t="shared" si="36"/>
        <v>11250</v>
      </c>
      <c r="N200" s="205">
        <f t="shared" si="37"/>
        <v>0</v>
      </c>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row>
    <row r="201" spans="2:41" x14ac:dyDescent="0.25">
      <c r="B201" s="585"/>
      <c r="C201" s="153">
        <v>1</v>
      </c>
      <c r="D201" s="153">
        <v>1</v>
      </c>
      <c r="E201" s="181">
        <v>40575</v>
      </c>
      <c r="F201" s="153">
        <v>5</v>
      </c>
      <c r="G201" s="202">
        <f t="shared" si="34"/>
        <v>1125</v>
      </c>
      <c r="H201" s="153">
        <v>10</v>
      </c>
      <c r="I201" s="202">
        <f t="shared" si="38"/>
        <v>266.66666666666669</v>
      </c>
      <c r="J201" s="160">
        <v>0.02</v>
      </c>
      <c r="K201" s="127"/>
      <c r="L201" s="203">
        <f t="shared" si="35"/>
        <v>20000</v>
      </c>
      <c r="M201" s="203">
        <f t="shared" si="36"/>
        <v>22500</v>
      </c>
      <c r="N201" s="205">
        <f t="shared" si="37"/>
        <v>2</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row>
    <row r="202" spans="2:41" x14ac:dyDescent="0.25">
      <c r="B202" s="585"/>
      <c r="C202" s="153">
        <v>1</v>
      </c>
      <c r="D202" s="153">
        <v>1</v>
      </c>
      <c r="E202" s="181">
        <v>40589</v>
      </c>
      <c r="F202" s="153">
        <v>6</v>
      </c>
      <c r="G202" s="202">
        <f t="shared" si="34"/>
        <v>1350</v>
      </c>
      <c r="H202" s="153">
        <v>12</v>
      </c>
      <c r="I202" s="202">
        <f t="shared" si="38"/>
        <v>266.66666666666669</v>
      </c>
      <c r="J202" s="160">
        <v>0.02</v>
      </c>
      <c r="K202" s="127"/>
      <c r="L202" s="203">
        <f t="shared" si="35"/>
        <v>24000</v>
      </c>
      <c r="M202" s="203">
        <f t="shared" si="36"/>
        <v>27000</v>
      </c>
      <c r="N202" s="205">
        <f t="shared" si="37"/>
        <v>2</v>
      </c>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row>
    <row r="203" spans="2:41" x14ac:dyDescent="0.25">
      <c r="B203" s="585"/>
      <c r="C203" s="153">
        <v>1</v>
      </c>
      <c r="D203" s="153">
        <v>1</v>
      </c>
      <c r="E203" s="181">
        <v>40603</v>
      </c>
      <c r="F203" s="153">
        <v>7</v>
      </c>
      <c r="G203" s="202">
        <f t="shared" si="34"/>
        <v>1575</v>
      </c>
      <c r="H203" s="153">
        <v>16</v>
      </c>
      <c r="I203" s="202">
        <f t="shared" si="38"/>
        <v>533.33333333333337</v>
      </c>
      <c r="J203" s="160">
        <v>0.03</v>
      </c>
      <c r="K203" s="127"/>
      <c r="L203" s="203">
        <f t="shared" si="35"/>
        <v>32000</v>
      </c>
      <c r="M203" s="203">
        <f t="shared" si="36"/>
        <v>31500</v>
      </c>
      <c r="N203" s="205">
        <f t="shared" si="37"/>
        <v>3</v>
      </c>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row>
    <row r="204" spans="2:41" x14ac:dyDescent="0.25">
      <c r="B204" s="585"/>
      <c r="C204" s="153"/>
      <c r="D204" s="153">
        <v>1</v>
      </c>
      <c r="E204" s="181">
        <v>40617</v>
      </c>
      <c r="F204" s="153">
        <v>7</v>
      </c>
      <c r="G204" s="202">
        <f t="shared" si="34"/>
        <v>1575</v>
      </c>
      <c r="H204" s="153">
        <v>20</v>
      </c>
      <c r="I204" s="202">
        <f t="shared" si="38"/>
        <v>533.33333333333337</v>
      </c>
      <c r="J204" s="160">
        <v>0.08</v>
      </c>
      <c r="K204" s="127"/>
      <c r="L204" s="203">
        <f t="shared" si="35"/>
        <v>40000</v>
      </c>
      <c r="M204" s="203">
        <f t="shared" si="36"/>
        <v>31500</v>
      </c>
      <c r="N204" s="205">
        <f t="shared" si="37"/>
        <v>8</v>
      </c>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row>
    <row r="205" spans="2:41" x14ac:dyDescent="0.25">
      <c r="B205" s="585"/>
      <c r="C205" s="153"/>
      <c r="D205" s="153">
        <v>1</v>
      </c>
      <c r="E205" s="181">
        <v>40634</v>
      </c>
      <c r="F205" s="153">
        <v>3</v>
      </c>
      <c r="G205" s="202">
        <f t="shared" si="34"/>
        <v>675</v>
      </c>
      <c r="H205" s="153">
        <v>5</v>
      </c>
      <c r="I205" s="202">
        <f t="shared" si="38"/>
        <v>-2000</v>
      </c>
      <c r="J205" s="160">
        <v>0.1</v>
      </c>
      <c r="K205" s="127"/>
      <c r="L205" s="203">
        <f t="shared" si="35"/>
        <v>10000</v>
      </c>
      <c r="M205" s="203">
        <f t="shared" si="36"/>
        <v>13500</v>
      </c>
      <c r="N205" s="205">
        <f t="shared" si="37"/>
        <v>10</v>
      </c>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row>
    <row r="206" spans="2:41" x14ac:dyDescent="0.25">
      <c r="B206" s="585"/>
      <c r="C206" s="153"/>
      <c r="D206" s="153">
        <v>1</v>
      </c>
      <c r="E206" s="181">
        <v>40648</v>
      </c>
      <c r="F206" s="153">
        <v>3</v>
      </c>
      <c r="G206" s="202">
        <f t="shared" si="34"/>
        <v>675</v>
      </c>
      <c r="H206" s="153">
        <v>5</v>
      </c>
      <c r="I206" s="202">
        <f t="shared" si="38"/>
        <v>0</v>
      </c>
      <c r="J206" s="160">
        <v>0.01</v>
      </c>
      <c r="K206" s="127"/>
      <c r="L206" s="203">
        <f t="shared" si="35"/>
        <v>10000</v>
      </c>
      <c r="M206" s="203">
        <f t="shared" si="36"/>
        <v>13500</v>
      </c>
      <c r="N206" s="205">
        <f t="shared" si="37"/>
        <v>1</v>
      </c>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row>
    <row r="207" spans="2:41" x14ac:dyDescent="0.25">
      <c r="B207" s="585"/>
      <c r="C207" s="153"/>
      <c r="D207" s="153">
        <v>1</v>
      </c>
      <c r="E207" s="181">
        <v>40664</v>
      </c>
      <c r="F207" s="153">
        <v>5</v>
      </c>
      <c r="G207" s="202">
        <f t="shared" si="34"/>
        <v>1125</v>
      </c>
      <c r="H207" s="153">
        <v>7</v>
      </c>
      <c r="I207" s="202">
        <f t="shared" si="38"/>
        <v>266.66666666666669</v>
      </c>
      <c r="J207" s="160">
        <v>0.03</v>
      </c>
      <c r="K207" s="127"/>
      <c r="L207" s="203">
        <f t="shared" si="35"/>
        <v>14000</v>
      </c>
      <c r="M207" s="203">
        <f t="shared" si="36"/>
        <v>22500</v>
      </c>
      <c r="N207" s="205">
        <f t="shared" si="37"/>
        <v>3</v>
      </c>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row>
    <row r="208" spans="2:41" x14ac:dyDescent="0.25">
      <c r="B208" s="585"/>
      <c r="C208" s="153"/>
      <c r="D208" s="153">
        <v>1</v>
      </c>
      <c r="E208" s="181">
        <v>40678</v>
      </c>
      <c r="F208" s="153">
        <v>6</v>
      </c>
      <c r="G208" s="202">
        <f t="shared" si="34"/>
        <v>1350</v>
      </c>
      <c r="H208" s="153">
        <v>10</v>
      </c>
      <c r="I208" s="202">
        <f t="shared" si="38"/>
        <v>400</v>
      </c>
      <c r="J208" s="160">
        <v>0.05</v>
      </c>
      <c r="K208" s="127"/>
      <c r="L208" s="203">
        <f t="shared" si="35"/>
        <v>20000</v>
      </c>
      <c r="M208" s="203">
        <f t="shared" si="36"/>
        <v>27000</v>
      </c>
      <c r="N208" s="205">
        <f t="shared" si="37"/>
        <v>5</v>
      </c>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row>
    <row r="209" spans="2:41" x14ac:dyDescent="0.25">
      <c r="B209" s="585"/>
      <c r="C209" s="153"/>
      <c r="D209" s="153">
        <v>1</v>
      </c>
      <c r="E209" s="181">
        <v>40695</v>
      </c>
      <c r="F209" s="153">
        <v>7</v>
      </c>
      <c r="G209" s="202">
        <f t="shared" si="34"/>
        <v>1575</v>
      </c>
      <c r="H209" s="153">
        <v>14</v>
      </c>
      <c r="I209" s="202">
        <f t="shared" si="38"/>
        <v>533.33333333333337</v>
      </c>
      <c r="J209" s="160">
        <v>0.05</v>
      </c>
      <c r="K209" s="127"/>
      <c r="L209" s="203">
        <f t="shared" si="35"/>
        <v>28000</v>
      </c>
      <c r="M209" s="203">
        <f t="shared" si="36"/>
        <v>31500</v>
      </c>
      <c r="N209" s="205">
        <f t="shared" si="37"/>
        <v>5</v>
      </c>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row>
    <row r="210" spans="2:41" x14ac:dyDescent="0.25">
      <c r="B210" s="585"/>
      <c r="C210" s="153"/>
      <c r="D210" s="153">
        <v>1</v>
      </c>
      <c r="E210" s="181">
        <v>40709</v>
      </c>
      <c r="F210" s="153">
        <v>7</v>
      </c>
      <c r="G210" s="202">
        <f t="shared" si="34"/>
        <v>1575</v>
      </c>
      <c r="H210" s="153">
        <v>18</v>
      </c>
      <c r="I210" s="202">
        <f t="shared" si="38"/>
        <v>533.33333333333337</v>
      </c>
      <c r="J210" s="160">
        <v>0.05</v>
      </c>
      <c r="K210" s="127"/>
      <c r="L210" s="203">
        <f t="shared" si="35"/>
        <v>36000</v>
      </c>
      <c r="M210" s="203">
        <f t="shared" si="36"/>
        <v>31500</v>
      </c>
      <c r="N210" s="205">
        <f t="shared" si="37"/>
        <v>5</v>
      </c>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row>
    <row r="211" spans="2:41" x14ac:dyDescent="0.25">
      <c r="B211" s="585"/>
      <c r="C211" s="153"/>
      <c r="D211" s="153"/>
      <c r="E211" s="181">
        <v>40725</v>
      </c>
      <c r="F211" s="153">
        <v>6</v>
      </c>
      <c r="G211" s="202">
        <f t="shared" si="34"/>
        <v>1350</v>
      </c>
      <c r="H211" s="153">
        <v>21</v>
      </c>
      <c r="I211" s="202">
        <f t="shared" si="38"/>
        <v>400</v>
      </c>
      <c r="J211" s="160">
        <v>0.02</v>
      </c>
      <c r="K211" s="127"/>
      <c r="L211" s="203">
        <f t="shared" si="35"/>
        <v>42000</v>
      </c>
      <c r="M211" s="203">
        <f t="shared" si="36"/>
        <v>27000</v>
      </c>
      <c r="N211" s="205">
        <f t="shared" si="37"/>
        <v>2</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row>
    <row r="212" spans="2:41" x14ac:dyDescent="0.25">
      <c r="B212" s="585"/>
      <c r="C212" s="153"/>
      <c r="D212" s="153"/>
      <c r="E212" s="181">
        <v>40739</v>
      </c>
      <c r="F212" s="153">
        <v>5</v>
      </c>
      <c r="G212" s="202">
        <f t="shared" si="34"/>
        <v>1125</v>
      </c>
      <c r="H212" s="156">
        <v>22</v>
      </c>
      <c r="I212" s="202">
        <f t="shared" si="38"/>
        <v>133.33333333333334</v>
      </c>
      <c r="J212" s="160">
        <v>0.01</v>
      </c>
      <c r="K212" s="127"/>
      <c r="L212" s="203">
        <f t="shared" si="35"/>
        <v>44000</v>
      </c>
      <c r="M212" s="203">
        <f t="shared" si="36"/>
        <v>22500</v>
      </c>
      <c r="N212" s="205">
        <f t="shared" si="37"/>
        <v>1</v>
      </c>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row>
    <row r="213" spans="2:41" x14ac:dyDescent="0.25">
      <c r="B213" s="585"/>
      <c r="C213" s="153"/>
      <c r="D213" s="153"/>
      <c r="E213" s="181">
        <v>40756</v>
      </c>
      <c r="F213" s="153">
        <v>3.5</v>
      </c>
      <c r="G213" s="202">
        <f t="shared" si="34"/>
        <v>787.5</v>
      </c>
      <c r="H213" s="153">
        <v>20</v>
      </c>
      <c r="I213" s="202">
        <f t="shared" si="38"/>
        <v>-266.66666666666669</v>
      </c>
      <c r="J213" s="160">
        <v>5.0000000000000001E-3</v>
      </c>
      <c r="K213" s="127"/>
      <c r="L213" s="203">
        <f t="shared" si="35"/>
        <v>40000</v>
      </c>
      <c r="M213" s="203">
        <f t="shared" si="36"/>
        <v>15750</v>
      </c>
      <c r="N213" s="205">
        <f t="shared" si="37"/>
        <v>0.5</v>
      </c>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row>
    <row r="214" spans="2:41" x14ac:dyDescent="0.25">
      <c r="B214" s="585"/>
      <c r="C214" s="153"/>
      <c r="D214" s="153"/>
      <c r="E214" s="181">
        <v>40770</v>
      </c>
      <c r="F214" s="153">
        <v>3.5</v>
      </c>
      <c r="G214" s="202">
        <f t="shared" si="34"/>
        <v>787.5</v>
      </c>
      <c r="H214" s="153">
        <v>17</v>
      </c>
      <c r="I214" s="202">
        <f t="shared" si="38"/>
        <v>-400</v>
      </c>
      <c r="J214" s="160">
        <v>5.0000000000000001E-3</v>
      </c>
      <c r="K214" s="127"/>
      <c r="L214" s="203">
        <f t="shared" si="35"/>
        <v>34000</v>
      </c>
      <c r="M214" s="203">
        <f t="shared" si="36"/>
        <v>15750</v>
      </c>
      <c r="N214" s="205">
        <f t="shared" si="37"/>
        <v>0.5</v>
      </c>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row>
    <row r="215" spans="2:41" x14ac:dyDescent="0.25">
      <c r="B215" s="585"/>
      <c r="C215" s="153"/>
      <c r="D215" s="153"/>
      <c r="E215" s="181">
        <v>40787</v>
      </c>
      <c r="F215" s="153">
        <v>2</v>
      </c>
      <c r="G215" s="202">
        <f t="shared" si="34"/>
        <v>450</v>
      </c>
      <c r="H215" s="153">
        <v>14</v>
      </c>
      <c r="I215" s="202">
        <f t="shared" si="38"/>
        <v>-400</v>
      </c>
      <c r="J215" s="160">
        <v>2.5000000000000001E-3</v>
      </c>
      <c r="K215" s="127"/>
      <c r="L215" s="203">
        <f t="shared" si="35"/>
        <v>28000</v>
      </c>
      <c r="M215" s="203">
        <f t="shared" si="36"/>
        <v>9000</v>
      </c>
      <c r="N215" s="205">
        <f t="shared" si="37"/>
        <v>0.25</v>
      </c>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row>
    <row r="216" spans="2:41" x14ac:dyDescent="0.25">
      <c r="B216" s="585"/>
      <c r="C216" s="153"/>
      <c r="D216" s="153"/>
      <c r="E216" s="181">
        <v>40801</v>
      </c>
      <c r="F216" s="153">
        <v>3</v>
      </c>
      <c r="G216" s="202">
        <f t="shared" si="34"/>
        <v>675</v>
      </c>
      <c r="H216" s="153">
        <v>12</v>
      </c>
      <c r="I216" s="202">
        <f t="shared" si="38"/>
        <v>-266.66666666666669</v>
      </c>
      <c r="J216" s="160">
        <v>0</v>
      </c>
      <c r="K216" s="127"/>
      <c r="L216" s="203">
        <f t="shared" si="35"/>
        <v>24000</v>
      </c>
      <c r="M216" s="203">
        <f t="shared" si="36"/>
        <v>13500</v>
      </c>
      <c r="N216" s="205">
        <f t="shared" si="37"/>
        <v>0</v>
      </c>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row>
    <row r="217" spans="2:41" x14ac:dyDescent="0.25">
      <c r="B217" s="585"/>
      <c r="C217" s="153"/>
      <c r="D217" s="153">
        <v>1</v>
      </c>
      <c r="E217" s="181">
        <v>40817</v>
      </c>
      <c r="F217" s="153">
        <v>3</v>
      </c>
      <c r="G217" s="202">
        <f t="shared" si="34"/>
        <v>675</v>
      </c>
      <c r="H217" s="153">
        <v>10</v>
      </c>
      <c r="I217" s="202">
        <f t="shared" si="38"/>
        <v>-266.66666666666669</v>
      </c>
      <c r="J217" s="160">
        <v>0</v>
      </c>
      <c r="K217" s="127"/>
      <c r="L217" s="203">
        <f t="shared" si="35"/>
        <v>20000</v>
      </c>
      <c r="M217" s="203">
        <f t="shared" si="36"/>
        <v>13500</v>
      </c>
      <c r="N217" s="205">
        <f t="shared" si="37"/>
        <v>0</v>
      </c>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row>
    <row r="218" spans="2:41" x14ac:dyDescent="0.25">
      <c r="B218" s="585"/>
      <c r="C218" s="153"/>
      <c r="D218" s="153">
        <v>1</v>
      </c>
      <c r="E218" s="181">
        <v>40831</v>
      </c>
      <c r="F218" s="153">
        <v>2.5</v>
      </c>
      <c r="G218" s="202">
        <f t="shared" si="34"/>
        <v>562.5</v>
      </c>
      <c r="H218" s="153">
        <v>9</v>
      </c>
      <c r="I218" s="202">
        <f t="shared" si="38"/>
        <v>-133.33333333333334</v>
      </c>
      <c r="J218" s="160">
        <v>0</v>
      </c>
      <c r="K218" s="127"/>
      <c r="L218" s="203">
        <f t="shared" si="35"/>
        <v>18000</v>
      </c>
      <c r="M218" s="203">
        <f t="shared" si="36"/>
        <v>11250</v>
      </c>
      <c r="N218" s="205">
        <f t="shared" si="37"/>
        <v>0</v>
      </c>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row>
    <row r="219" spans="2:41" x14ac:dyDescent="0.25">
      <c r="B219" s="585"/>
      <c r="C219" s="153">
        <v>1</v>
      </c>
      <c r="D219" s="153"/>
      <c r="E219" s="181">
        <v>40848</v>
      </c>
      <c r="F219" s="153">
        <v>2</v>
      </c>
      <c r="G219" s="202">
        <f t="shared" si="34"/>
        <v>450</v>
      </c>
      <c r="H219" s="153">
        <v>8</v>
      </c>
      <c r="I219" s="202">
        <f t="shared" si="38"/>
        <v>-133.33333333333334</v>
      </c>
      <c r="J219" s="160">
        <v>0</v>
      </c>
      <c r="K219" s="127"/>
      <c r="L219" s="203">
        <f t="shared" si="35"/>
        <v>16000</v>
      </c>
      <c r="M219" s="203">
        <f t="shared" si="36"/>
        <v>9000</v>
      </c>
      <c r="N219" s="205">
        <f t="shared" si="37"/>
        <v>0</v>
      </c>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row>
    <row r="220" spans="2:41" x14ac:dyDescent="0.25">
      <c r="B220" s="585"/>
      <c r="C220" s="153">
        <v>1</v>
      </c>
      <c r="D220" s="153"/>
      <c r="E220" s="181">
        <v>40862</v>
      </c>
      <c r="F220" s="153">
        <v>0.5</v>
      </c>
      <c r="G220" s="202">
        <f t="shared" si="34"/>
        <v>112.5</v>
      </c>
      <c r="H220" s="153">
        <v>7</v>
      </c>
      <c r="I220" s="202">
        <f t="shared" si="38"/>
        <v>-133.33333333333334</v>
      </c>
      <c r="J220" s="160">
        <v>0</v>
      </c>
      <c r="K220" s="127"/>
      <c r="L220" s="203">
        <f t="shared" si="35"/>
        <v>14000</v>
      </c>
      <c r="M220" s="203">
        <f t="shared" si="36"/>
        <v>2250</v>
      </c>
      <c r="N220" s="205">
        <f t="shared" si="37"/>
        <v>0</v>
      </c>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row>
    <row r="221" spans="2:41" x14ac:dyDescent="0.25">
      <c r="B221" s="585"/>
      <c r="C221" s="153">
        <v>1</v>
      </c>
      <c r="D221" s="153"/>
      <c r="E221" s="181">
        <v>40878</v>
      </c>
      <c r="F221" s="153">
        <v>0.5</v>
      </c>
      <c r="G221" s="202">
        <f t="shared" si="34"/>
        <v>112.5</v>
      </c>
      <c r="H221" s="153">
        <v>8</v>
      </c>
      <c r="I221" s="202">
        <f t="shared" si="38"/>
        <v>133.33333333333334</v>
      </c>
      <c r="J221" s="160">
        <v>0</v>
      </c>
      <c r="K221" s="127"/>
      <c r="L221" s="203">
        <f t="shared" si="35"/>
        <v>16000</v>
      </c>
      <c r="M221" s="203">
        <f t="shared" si="36"/>
        <v>2250</v>
      </c>
      <c r="N221" s="205">
        <f t="shared" si="37"/>
        <v>0</v>
      </c>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row>
    <row r="222" spans="2:41" x14ac:dyDescent="0.25">
      <c r="B222" s="585"/>
      <c r="C222" s="153">
        <v>1</v>
      </c>
      <c r="D222" s="153"/>
      <c r="E222" s="181">
        <v>40892</v>
      </c>
      <c r="F222" s="153">
        <v>0</v>
      </c>
      <c r="G222" s="202">
        <f t="shared" si="34"/>
        <v>0</v>
      </c>
      <c r="H222" s="153">
        <v>8</v>
      </c>
      <c r="I222" s="202">
        <f t="shared" si="38"/>
        <v>0</v>
      </c>
      <c r="J222" s="160">
        <v>0</v>
      </c>
      <c r="K222" s="127"/>
      <c r="L222" s="203">
        <f t="shared" si="35"/>
        <v>16000</v>
      </c>
      <c r="M222" s="203">
        <f t="shared" si="36"/>
        <v>0</v>
      </c>
      <c r="N222" s="205">
        <f t="shared" si="37"/>
        <v>0</v>
      </c>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row>
    <row r="223" spans="2:41" x14ac:dyDescent="0.25">
      <c r="B223" s="127"/>
      <c r="E223" s="311">
        <v>43100</v>
      </c>
      <c r="F223" s="297">
        <v>0</v>
      </c>
      <c r="G223" s="297">
        <f>H199</f>
        <v>8</v>
      </c>
      <c r="H223" s="297">
        <v>8</v>
      </c>
      <c r="I223" s="297">
        <f>J199</f>
        <v>0</v>
      </c>
      <c r="J223" s="330">
        <f>K199</f>
        <v>0</v>
      </c>
      <c r="K223" s="297"/>
      <c r="L223" s="297">
        <f>M199</f>
        <v>2250</v>
      </c>
      <c r="M223" s="297">
        <f>N199</f>
        <v>0</v>
      </c>
      <c r="N223" s="312">
        <f>O199</f>
        <v>0</v>
      </c>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row>
    <row r="224" spans="2:41" x14ac:dyDescent="0.25">
      <c r="B224" s="127"/>
      <c r="E224" s="127"/>
      <c r="G224" s="127"/>
      <c r="I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row>
    <row r="225" spans="2:41" x14ac:dyDescent="0.25">
      <c r="B225" s="127"/>
      <c r="E225" s="127"/>
      <c r="G225" s="127"/>
      <c r="I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row>
    <row r="226" spans="2:41" ht="187.5" x14ac:dyDescent="0.25">
      <c r="B226" s="193" t="s">
        <v>204</v>
      </c>
      <c r="C226" s="151" t="s">
        <v>45</v>
      </c>
      <c r="D226" s="151" t="s">
        <v>46</v>
      </c>
      <c r="E226" s="195" t="s">
        <v>38</v>
      </c>
      <c r="F226" s="154" t="s">
        <v>39</v>
      </c>
      <c r="G226" s="197" t="s">
        <v>84</v>
      </c>
      <c r="H226" s="155" t="s">
        <v>86</v>
      </c>
      <c r="I226" s="199" t="s">
        <v>85</v>
      </c>
      <c r="J226" s="332" t="s">
        <v>40</v>
      </c>
      <c r="K226" s="127"/>
      <c r="L226" s="198" t="s">
        <v>42</v>
      </c>
      <c r="M226" s="196" t="s">
        <v>43</v>
      </c>
      <c r="N226" s="200" t="s">
        <v>87</v>
      </c>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row>
    <row r="227" spans="2:41" ht="13" x14ac:dyDescent="0.3">
      <c r="B227" s="586"/>
      <c r="C227" s="114">
        <v>1</v>
      </c>
      <c r="D227" s="114"/>
      <c r="E227" s="181">
        <v>40544</v>
      </c>
      <c r="F227" s="114">
        <v>0</v>
      </c>
      <c r="G227" s="202">
        <f t="shared" ref="G227:G250" si="39">M227/20</f>
        <v>0</v>
      </c>
      <c r="H227" s="114">
        <v>8</v>
      </c>
      <c r="I227" s="203"/>
      <c r="J227" s="328">
        <v>0</v>
      </c>
      <c r="K227" s="127"/>
      <c r="L227" s="203">
        <f t="shared" ref="L227:L250" si="40">H227*$M$2</f>
        <v>16000</v>
      </c>
      <c r="M227" s="203">
        <f t="shared" ref="M227:M250" si="41">F227*$M$3</f>
        <v>0</v>
      </c>
      <c r="N227" s="205">
        <f t="shared" ref="N227:N250" si="42">J227*100</f>
        <v>0</v>
      </c>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row>
    <row r="228" spans="2:41" ht="13" x14ac:dyDescent="0.3">
      <c r="B228" s="586"/>
      <c r="C228" s="114">
        <v>1</v>
      </c>
      <c r="D228" s="114"/>
      <c r="E228" s="181">
        <v>40558</v>
      </c>
      <c r="F228" s="114">
        <v>0.25</v>
      </c>
      <c r="G228" s="202">
        <f t="shared" si="39"/>
        <v>56.25</v>
      </c>
      <c r="H228" s="114">
        <v>8</v>
      </c>
      <c r="I228" s="202">
        <f t="shared" ref="I228:I250" si="43">(L228-L227)/15</f>
        <v>0</v>
      </c>
      <c r="J228" s="328">
        <v>0</v>
      </c>
      <c r="K228" s="127"/>
      <c r="L228" s="203">
        <f t="shared" si="40"/>
        <v>16000</v>
      </c>
      <c r="M228" s="203">
        <f t="shared" si="41"/>
        <v>1125</v>
      </c>
      <c r="N228" s="205">
        <f t="shared" si="42"/>
        <v>0</v>
      </c>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row>
    <row r="229" spans="2:41" ht="13" x14ac:dyDescent="0.3">
      <c r="B229" s="586"/>
      <c r="C229" s="114">
        <v>1</v>
      </c>
      <c r="D229" s="114"/>
      <c r="E229" s="181">
        <v>40575</v>
      </c>
      <c r="F229" s="114">
        <v>0.5</v>
      </c>
      <c r="G229" s="202">
        <f t="shared" si="39"/>
        <v>112.5</v>
      </c>
      <c r="H229" s="114">
        <v>8</v>
      </c>
      <c r="I229" s="202">
        <f t="shared" si="43"/>
        <v>0</v>
      </c>
      <c r="J229" s="328">
        <v>0</v>
      </c>
      <c r="K229" s="127"/>
      <c r="L229" s="203">
        <f t="shared" si="40"/>
        <v>16000</v>
      </c>
      <c r="M229" s="203">
        <f t="shared" si="41"/>
        <v>2250</v>
      </c>
      <c r="N229" s="205">
        <f t="shared" si="42"/>
        <v>0</v>
      </c>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row>
    <row r="230" spans="2:41" ht="13" x14ac:dyDescent="0.3">
      <c r="B230" s="586"/>
      <c r="C230" s="114">
        <v>1</v>
      </c>
      <c r="D230" s="114"/>
      <c r="E230" s="181">
        <v>40589</v>
      </c>
      <c r="F230" s="114">
        <v>0.5</v>
      </c>
      <c r="G230" s="202">
        <f t="shared" si="39"/>
        <v>112.5</v>
      </c>
      <c r="H230" s="114">
        <v>7</v>
      </c>
      <c r="I230" s="202">
        <f t="shared" si="43"/>
        <v>-133.33333333333334</v>
      </c>
      <c r="J230" s="328">
        <v>0</v>
      </c>
      <c r="K230" s="127"/>
      <c r="L230" s="203">
        <f t="shared" si="40"/>
        <v>14000</v>
      </c>
      <c r="M230" s="203">
        <f t="shared" si="41"/>
        <v>2250</v>
      </c>
      <c r="N230" s="205">
        <f t="shared" si="42"/>
        <v>0</v>
      </c>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row>
    <row r="231" spans="2:41" ht="13" x14ac:dyDescent="0.3">
      <c r="B231" s="586"/>
      <c r="C231" s="114">
        <v>1</v>
      </c>
      <c r="D231" s="114"/>
      <c r="E231" s="181">
        <v>40603</v>
      </c>
      <c r="F231" s="114">
        <v>1</v>
      </c>
      <c r="G231" s="202">
        <f t="shared" si="39"/>
        <v>225</v>
      </c>
      <c r="H231" s="114">
        <v>7</v>
      </c>
      <c r="I231" s="202">
        <f t="shared" si="43"/>
        <v>0</v>
      </c>
      <c r="J231" s="328">
        <v>0</v>
      </c>
      <c r="K231" s="127"/>
      <c r="L231" s="203">
        <f t="shared" si="40"/>
        <v>14000</v>
      </c>
      <c r="M231" s="203">
        <f t="shared" si="41"/>
        <v>4500</v>
      </c>
      <c r="N231" s="205">
        <f t="shared" si="42"/>
        <v>0</v>
      </c>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row>
    <row r="232" spans="2:41" ht="13" x14ac:dyDescent="0.3">
      <c r="B232" s="586"/>
      <c r="C232" s="114">
        <v>1</v>
      </c>
      <c r="D232" s="114"/>
      <c r="E232" s="181">
        <v>40617</v>
      </c>
      <c r="F232" s="114">
        <v>2</v>
      </c>
      <c r="G232" s="202">
        <f t="shared" si="39"/>
        <v>450</v>
      </c>
      <c r="H232" s="114">
        <v>6</v>
      </c>
      <c r="I232" s="202">
        <f t="shared" si="43"/>
        <v>-133.33333333333334</v>
      </c>
      <c r="J232" s="328">
        <v>0.02</v>
      </c>
      <c r="K232" s="127"/>
      <c r="L232" s="203">
        <f t="shared" si="40"/>
        <v>12000</v>
      </c>
      <c r="M232" s="203">
        <f t="shared" si="41"/>
        <v>9000</v>
      </c>
      <c r="N232" s="205">
        <f t="shared" si="42"/>
        <v>2</v>
      </c>
      <c r="O232" s="127"/>
      <c r="P232" s="127"/>
      <c r="Q232" s="127"/>
      <c r="R232" s="127"/>
      <c r="S232" s="127"/>
      <c r="T232" s="127"/>
      <c r="U232" s="127"/>
      <c r="V232" s="127"/>
      <c r="W232" s="208"/>
      <c r="X232" s="208"/>
      <c r="Y232" s="208"/>
      <c r="Z232" s="208"/>
      <c r="AA232" s="127"/>
      <c r="AB232" s="127"/>
      <c r="AC232" s="127"/>
      <c r="AD232" s="127"/>
      <c r="AE232" s="127"/>
      <c r="AF232" s="127"/>
      <c r="AG232" s="127"/>
      <c r="AH232" s="127"/>
      <c r="AI232" s="127"/>
      <c r="AJ232" s="127"/>
      <c r="AK232" s="127"/>
      <c r="AL232" s="127"/>
      <c r="AM232" s="127"/>
      <c r="AN232" s="127"/>
      <c r="AO232" s="127"/>
    </row>
    <row r="233" spans="2:41" ht="13" x14ac:dyDescent="0.3">
      <c r="B233" s="586"/>
      <c r="C233" s="114"/>
      <c r="D233" s="114">
        <v>1</v>
      </c>
      <c r="E233" s="181">
        <v>40634</v>
      </c>
      <c r="F233" s="114">
        <v>3</v>
      </c>
      <c r="G233" s="202">
        <f t="shared" si="39"/>
        <v>675</v>
      </c>
      <c r="H233" s="114">
        <v>6</v>
      </c>
      <c r="I233" s="202">
        <f t="shared" si="43"/>
        <v>0</v>
      </c>
      <c r="J233" s="328">
        <v>0.03</v>
      </c>
      <c r="K233" s="127"/>
      <c r="L233" s="203">
        <f t="shared" si="40"/>
        <v>12000</v>
      </c>
      <c r="M233" s="203">
        <f t="shared" si="41"/>
        <v>13500</v>
      </c>
      <c r="N233" s="205">
        <f t="shared" si="42"/>
        <v>3</v>
      </c>
      <c r="O233" s="127"/>
      <c r="P233" s="127"/>
      <c r="Q233" s="127"/>
      <c r="R233" s="127"/>
      <c r="S233" s="127"/>
      <c r="T233" s="127"/>
      <c r="U233" s="127"/>
      <c r="V233" s="127"/>
      <c r="W233" s="208"/>
      <c r="X233" s="208"/>
      <c r="Y233" s="208"/>
      <c r="Z233" s="208"/>
      <c r="AA233" s="127"/>
      <c r="AB233" s="127"/>
      <c r="AC233" s="127"/>
      <c r="AD233" s="127"/>
      <c r="AE233" s="127"/>
      <c r="AF233" s="127"/>
      <c r="AG233" s="127"/>
      <c r="AH233" s="127"/>
      <c r="AI233" s="127"/>
      <c r="AJ233" s="127"/>
      <c r="AK233" s="127"/>
      <c r="AL233" s="127"/>
      <c r="AM233" s="127"/>
      <c r="AN233" s="127"/>
      <c r="AO233" s="127"/>
    </row>
    <row r="234" spans="2:41" ht="13" x14ac:dyDescent="0.3">
      <c r="B234" s="586"/>
      <c r="C234" s="114"/>
      <c r="D234" s="114">
        <v>1</v>
      </c>
      <c r="E234" s="181">
        <v>40648</v>
      </c>
      <c r="F234" s="114">
        <v>5</v>
      </c>
      <c r="G234" s="202">
        <f t="shared" si="39"/>
        <v>1125</v>
      </c>
      <c r="H234" s="114">
        <v>8</v>
      </c>
      <c r="I234" s="202">
        <f t="shared" si="43"/>
        <v>266.66666666666669</v>
      </c>
      <c r="J234" s="328">
        <v>0.06</v>
      </c>
      <c r="K234" s="127"/>
      <c r="L234" s="203">
        <f t="shared" si="40"/>
        <v>16000</v>
      </c>
      <c r="M234" s="203">
        <f t="shared" si="41"/>
        <v>22500</v>
      </c>
      <c r="N234" s="205">
        <f t="shared" si="42"/>
        <v>6</v>
      </c>
      <c r="O234" s="127"/>
      <c r="P234" s="127"/>
      <c r="Q234" s="127"/>
      <c r="R234" s="127"/>
      <c r="S234" s="127"/>
      <c r="T234" s="127"/>
      <c r="U234" s="127"/>
      <c r="V234" s="127"/>
      <c r="W234" s="208"/>
      <c r="X234" s="208"/>
      <c r="Y234" s="208"/>
      <c r="Z234" s="208"/>
      <c r="AA234" s="127"/>
      <c r="AB234" s="127"/>
      <c r="AC234" s="127"/>
      <c r="AD234" s="127"/>
      <c r="AE234" s="127"/>
      <c r="AF234" s="127"/>
      <c r="AG234" s="127"/>
      <c r="AH234" s="127"/>
      <c r="AI234" s="127"/>
      <c r="AJ234" s="127"/>
      <c r="AK234" s="127"/>
      <c r="AL234" s="127"/>
      <c r="AM234" s="127"/>
      <c r="AN234" s="127"/>
      <c r="AO234" s="127"/>
    </row>
    <row r="235" spans="2:41" ht="13" x14ac:dyDescent="0.3">
      <c r="B235" s="586"/>
      <c r="C235" s="114"/>
      <c r="D235" s="114">
        <v>1</v>
      </c>
      <c r="E235" s="181">
        <v>40664</v>
      </c>
      <c r="F235" s="114">
        <v>7</v>
      </c>
      <c r="G235" s="202">
        <f t="shared" si="39"/>
        <v>1575</v>
      </c>
      <c r="H235" s="114">
        <v>10</v>
      </c>
      <c r="I235" s="202">
        <f t="shared" si="43"/>
        <v>266.66666666666669</v>
      </c>
      <c r="J235" s="328">
        <v>0.1</v>
      </c>
      <c r="K235" s="127"/>
      <c r="L235" s="203">
        <f t="shared" si="40"/>
        <v>20000</v>
      </c>
      <c r="M235" s="203">
        <f t="shared" si="41"/>
        <v>31500</v>
      </c>
      <c r="N235" s="205">
        <f t="shared" si="42"/>
        <v>10</v>
      </c>
      <c r="O235" s="127"/>
      <c r="P235" s="127"/>
      <c r="Q235" s="127"/>
      <c r="R235" s="127"/>
      <c r="S235" s="127"/>
      <c r="T235" s="127"/>
      <c r="U235" s="127"/>
      <c r="V235" s="127"/>
      <c r="W235" s="208"/>
      <c r="X235" s="208"/>
      <c r="Y235" s="208"/>
      <c r="Z235" s="208"/>
      <c r="AA235" s="127"/>
      <c r="AB235" s="127"/>
      <c r="AC235" s="127"/>
      <c r="AD235" s="127"/>
      <c r="AE235" s="127"/>
      <c r="AF235" s="127"/>
      <c r="AG235" s="127"/>
      <c r="AH235" s="127"/>
      <c r="AI235" s="127"/>
      <c r="AJ235" s="127"/>
      <c r="AK235" s="127"/>
      <c r="AL235" s="127"/>
      <c r="AM235" s="127"/>
      <c r="AN235" s="127"/>
      <c r="AO235" s="127"/>
    </row>
    <row r="236" spans="2:41" ht="13" x14ac:dyDescent="0.3">
      <c r="B236" s="586"/>
      <c r="C236" s="114"/>
      <c r="D236" s="114">
        <v>1</v>
      </c>
      <c r="E236" s="181">
        <v>40678</v>
      </c>
      <c r="F236" s="114">
        <v>2</v>
      </c>
      <c r="G236" s="202">
        <f t="shared" si="39"/>
        <v>450</v>
      </c>
      <c r="H236" s="114">
        <v>14</v>
      </c>
      <c r="I236" s="202">
        <f t="shared" si="43"/>
        <v>533.33333333333337</v>
      </c>
      <c r="J236" s="328">
        <v>0.1</v>
      </c>
      <c r="K236" s="127"/>
      <c r="L236" s="203">
        <f t="shared" si="40"/>
        <v>28000</v>
      </c>
      <c r="M236" s="203">
        <f t="shared" si="41"/>
        <v>9000</v>
      </c>
      <c r="N236" s="205">
        <f t="shared" si="42"/>
        <v>10</v>
      </c>
      <c r="O236" s="127"/>
      <c r="P236" s="127"/>
      <c r="Q236" s="127"/>
      <c r="R236" s="127"/>
      <c r="S236" s="127"/>
      <c r="T236" s="127"/>
      <c r="U236" s="127"/>
      <c r="V236" s="127"/>
      <c r="W236" s="208"/>
      <c r="X236" s="208"/>
      <c r="Y236" s="208"/>
      <c r="Z236" s="208"/>
      <c r="AA236" s="127"/>
      <c r="AB236" s="127"/>
      <c r="AC236" s="127"/>
      <c r="AD236" s="127"/>
      <c r="AE236" s="127"/>
      <c r="AF236" s="127"/>
      <c r="AG236" s="127"/>
      <c r="AH236" s="127"/>
      <c r="AI236" s="127"/>
      <c r="AJ236" s="127"/>
      <c r="AK236" s="127"/>
      <c r="AL236" s="127"/>
      <c r="AM236" s="127"/>
      <c r="AN236" s="127"/>
      <c r="AO236" s="127"/>
    </row>
    <row r="237" spans="2:41" ht="13" x14ac:dyDescent="0.3">
      <c r="B237" s="586"/>
      <c r="C237" s="114"/>
      <c r="D237" s="114">
        <v>1</v>
      </c>
      <c r="E237" s="181">
        <v>40695</v>
      </c>
      <c r="F237" s="114">
        <v>6</v>
      </c>
      <c r="G237" s="202">
        <f t="shared" si="39"/>
        <v>1350</v>
      </c>
      <c r="H237" s="114">
        <v>8</v>
      </c>
      <c r="I237" s="202">
        <f t="shared" si="43"/>
        <v>-800</v>
      </c>
      <c r="J237" s="328">
        <v>0.05</v>
      </c>
      <c r="K237" s="127"/>
      <c r="L237" s="203">
        <f t="shared" si="40"/>
        <v>16000</v>
      </c>
      <c r="M237" s="203">
        <f t="shared" si="41"/>
        <v>27000</v>
      </c>
      <c r="N237" s="205">
        <f t="shared" si="42"/>
        <v>5</v>
      </c>
      <c r="O237" s="127"/>
      <c r="P237" s="127"/>
      <c r="Q237" s="127"/>
      <c r="R237" s="127"/>
      <c r="S237" s="127"/>
      <c r="T237" s="127"/>
      <c r="U237" s="127"/>
      <c r="V237" s="127"/>
      <c r="W237" s="208"/>
      <c r="X237" s="208"/>
      <c r="Y237" s="208"/>
      <c r="Z237" s="208"/>
      <c r="AA237" s="127"/>
      <c r="AB237" s="127"/>
      <c r="AC237" s="127"/>
      <c r="AD237" s="127"/>
      <c r="AE237" s="127"/>
      <c r="AF237" s="127"/>
      <c r="AG237" s="127"/>
      <c r="AH237" s="127"/>
      <c r="AI237" s="127"/>
      <c r="AJ237" s="127"/>
      <c r="AK237" s="127"/>
      <c r="AL237" s="127"/>
      <c r="AM237" s="127"/>
      <c r="AN237" s="127"/>
      <c r="AO237" s="127"/>
    </row>
    <row r="238" spans="2:41" ht="13" x14ac:dyDescent="0.3">
      <c r="B238" s="586"/>
      <c r="C238" s="114"/>
      <c r="D238" s="114">
        <v>1</v>
      </c>
      <c r="E238" s="181">
        <v>40709</v>
      </c>
      <c r="F238" s="114">
        <v>6</v>
      </c>
      <c r="G238" s="202">
        <f t="shared" si="39"/>
        <v>1350</v>
      </c>
      <c r="H238" s="114">
        <v>12</v>
      </c>
      <c r="I238" s="202">
        <f t="shared" si="43"/>
        <v>533.33333333333337</v>
      </c>
      <c r="J238" s="328">
        <v>0.05</v>
      </c>
      <c r="K238" s="127"/>
      <c r="L238" s="203">
        <f t="shared" si="40"/>
        <v>24000</v>
      </c>
      <c r="M238" s="203">
        <f t="shared" si="41"/>
        <v>27000</v>
      </c>
      <c r="N238" s="205">
        <f t="shared" si="42"/>
        <v>5</v>
      </c>
      <c r="O238" s="127"/>
      <c r="P238" s="127"/>
      <c r="Q238" s="127"/>
      <c r="R238" s="127"/>
      <c r="S238" s="127"/>
      <c r="T238" s="127"/>
      <c r="U238" s="127"/>
      <c r="V238" s="127"/>
      <c r="W238" s="208"/>
      <c r="X238" s="208"/>
      <c r="Y238" s="208"/>
      <c r="Z238" s="208"/>
      <c r="AA238" s="127"/>
      <c r="AB238" s="127"/>
      <c r="AC238" s="127"/>
      <c r="AD238" s="127"/>
      <c r="AE238" s="127"/>
      <c r="AF238" s="127"/>
      <c r="AG238" s="127"/>
      <c r="AH238" s="127"/>
      <c r="AI238" s="127"/>
      <c r="AJ238" s="127"/>
      <c r="AK238" s="127"/>
      <c r="AL238" s="127"/>
      <c r="AM238" s="127"/>
      <c r="AN238" s="127"/>
      <c r="AO238" s="127"/>
    </row>
    <row r="239" spans="2:41" ht="13" x14ac:dyDescent="0.3">
      <c r="B239" s="586"/>
      <c r="C239" s="114"/>
      <c r="D239" s="114">
        <v>1</v>
      </c>
      <c r="E239" s="181">
        <v>40725</v>
      </c>
      <c r="F239" s="114">
        <v>5.5</v>
      </c>
      <c r="G239" s="202">
        <f t="shared" si="39"/>
        <v>1237.5</v>
      </c>
      <c r="H239" s="114">
        <v>16</v>
      </c>
      <c r="I239" s="202">
        <f t="shared" si="43"/>
        <v>533.33333333333337</v>
      </c>
      <c r="J239" s="328">
        <v>0.05</v>
      </c>
      <c r="K239" s="127"/>
      <c r="L239" s="203">
        <f t="shared" si="40"/>
        <v>32000</v>
      </c>
      <c r="M239" s="203">
        <f t="shared" si="41"/>
        <v>24750</v>
      </c>
      <c r="N239" s="205">
        <f t="shared" si="42"/>
        <v>5</v>
      </c>
      <c r="O239" s="127"/>
      <c r="P239" s="127"/>
      <c r="Q239" s="127"/>
      <c r="R239" s="127"/>
      <c r="S239" s="127"/>
      <c r="T239" s="127"/>
      <c r="U239" s="127"/>
      <c r="V239" s="127"/>
      <c r="W239" s="208"/>
      <c r="X239" s="208"/>
      <c r="Y239" s="208"/>
      <c r="Z239" s="208"/>
      <c r="AA239" s="127"/>
      <c r="AB239" s="127"/>
      <c r="AC239" s="127"/>
      <c r="AD239" s="127"/>
      <c r="AE239" s="127"/>
      <c r="AF239" s="127"/>
      <c r="AG239" s="127"/>
      <c r="AH239" s="127"/>
      <c r="AI239" s="127"/>
      <c r="AJ239" s="127"/>
      <c r="AK239" s="127"/>
      <c r="AL239" s="127"/>
      <c r="AM239" s="127"/>
      <c r="AN239" s="127"/>
      <c r="AO239" s="127"/>
    </row>
    <row r="240" spans="2:41" ht="13" x14ac:dyDescent="0.3">
      <c r="B240" s="586"/>
      <c r="C240" s="114"/>
      <c r="D240" s="114">
        <v>1</v>
      </c>
      <c r="E240" s="181">
        <v>40739</v>
      </c>
      <c r="F240" s="114">
        <v>5</v>
      </c>
      <c r="G240" s="202">
        <f t="shared" si="39"/>
        <v>1125</v>
      </c>
      <c r="H240" s="114">
        <v>21</v>
      </c>
      <c r="I240" s="202">
        <f t="shared" si="43"/>
        <v>666.66666666666663</v>
      </c>
      <c r="J240" s="328">
        <v>0.05</v>
      </c>
      <c r="K240" s="127"/>
      <c r="L240" s="203">
        <f t="shared" si="40"/>
        <v>42000</v>
      </c>
      <c r="M240" s="203">
        <f t="shared" si="41"/>
        <v>22500</v>
      </c>
      <c r="N240" s="205">
        <f t="shared" si="42"/>
        <v>5</v>
      </c>
      <c r="O240" s="127"/>
      <c r="P240" s="127"/>
      <c r="Q240" s="127"/>
      <c r="R240" s="127"/>
      <c r="S240" s="127"/>
      <c r="T240" s="127"/>
      <c r="U240" s="127"/>
      <c r="V240" s="127"/>
      <c r="W240" s="208"/>
      <c r="X240" s="208"/>
      <c r="Y240" s="208"/>
      <c r="Z240" s="208"/>
      <c r="AA240" s="127"/>
      <c r="AB240" s="127"/>
      <c r="AC240" s="127"/>
      <c r="AD240" s="127"/>
      <c r="AE240" s="127"/>
      <c r="AF240" s="127"/>
      <c r="AG240" s="127"/>
      <c r="AH240" s="127"/>
      <c r="AI240" s="127"/>
      <c r="AJ240" s="127"/>
      <c r="AK240" s="127"/>
      <c r="AL240" s="127"/>
      <c r="AM240" s="127"/>
      <c r="AN240" s="127"/>
      <c r="AO240" s="127"/>
    </row>
    <row r="241" spans="2:41" ht="13" x14ac:dyDescent="0.3">
      <c r="B241" s="586"/>
      <c r="C241" s="114"/>
      <c r="D241" s="114">
        <v>1</v>
      </c>
      <c r="E241" s="181">
        <v>40756</v>
      </c>
      <c r="F241" s="114">
        <v>4.5</v>
      </c>
      <c r="G241" s="202">
        <f t="shared" si="39"/>
        <v>1012.5</v>
      </c>
      <c r="H241" s="114">
        <v>22</v>
      </c>
      <c r="I241" s="202">
        <f t="shared" si="43"/>
        <v>133.33333333333334</v>
      </c>
      <c r="J241" s="328">
        <v>0.05</v>
      </c>
      <c r="K241" s="127"/>
      <c r="L241" s="203">
        <f t="shared" si="40"/>
        <v>44000</v>
      </c>
      <c r="M241" s="203">
        <f t="shared" si="41"/>
        <v>20250</v>
      </c>
      <c r="N241" s="205">
        <f t="shared" si="42"/>
        <v>5</v>
      </c>
      <c r="O241" s="127"/>
      <c r="P241" s="127"/>
      <c r="Q241" s="127"/>
      <c r="R241" s="127"/>
      <c r="S241" s="127"/>
      <c r="T241" s="127"/>
      <c r="U241" s="127"/>
      <c r="V241" s="127"/>
      <c r="W241" s="208"/>
      <c r="X241" s="208"/>
      <c r="Y241" s="208"/>
      <c r="Z241" s="208"/>
      <c r="AA241" s="127"/>
      <c r="AB241" s="127"/>
      <c r="AC241" s="127"/>
      <c r="AD241" s="127"/>
      <c r="AE241" s="127"/>
      <c r="AF241" s="127"/>
      <c r="AG241" s="127"/>
      <c r="AH241" s="127"/>
      <c r="AI241" s="127"/>
      <c r="AJ241" s="127"/>
      <c r="AK241" s="127"/>
      <c r="AL241" s="127"/>
      <c r="AM241" s="127"/>
      <c r="AN241" s="127"/>
      <c r="AO241" s="127"/>
    </row>
    <row r="242" spans="2:41" ht="13" x14ac:dyDescent="0.3">
      <c r="B242" s="586"/>
      <c r="C242" s="114"/>
      <c r="D242" s="114">
        <v>1</v>
      </c>
      <c r="E242" s="181">
        <v>40770</v>
      </c>
      <c r="F242" s="114">
        <v>4</v>
      </c>
      <c r="G242" s="202">
        <f t="shared" si="39"/>
        <v>900</v>
      </c>
      <c r="H242" s="114">
        <v>22</v>
      </c>
      <c r="I242" s="202">
        <f t="shared" si="43"/>
        <v>0</v>
      </c>
      <c r="J242" s="328">
        <v>0.05</v>
      </c>
      <c r="K242" s="127"/>
      <c r="L242" s="203">
        <f t="shared" si="40"/>
        <v>44000</v>
      </c>
      <c r="M242" s="203">
        <f t="shared" si="41"/>
        <v>18000</v>
      </c>
      <c r="N242" s="205">
        <f t="shared" si="42"/>
        <v>5</v>
      </c>
      <c r="O242" s="127"/>
      <c r="P242" s="127"/>
      <c r="Q242" s="127"/>
      <c r="R242" s="127"/>
      <c r="S242" s="127"/>
      <c r="T242" s="127"/>
      <c r="U242" s="127"/>
      <c r="V242" s="127"/>
      <c r="W242" s="208"/>
      <c r="X242" s="208"/>
      <c r="Y242" s="208"/>
      <c r="Z242" s="208"/>
      <c r="AA242" s="127"/>
      <c r="AB242" s="127"/>
      <c r="AC242" s="127"/>
      <c r="AD242" s="127"/>
      <c r="AE242" s="127"/>
      <c r="AF242" s="127"/>
      <c r="AG242" s="127"/>
      <c r="AH242" s="127"/>
      <c r="AI242" s="127"/>
      <c r="AJ242" s="127"/>
      <c r="AK242" s="127"/>
      <c r="AL242" s="127"/>
      <c r="AM242" s="127"/>
      <c r="AN242" s="127"/>
      <c r="AO242" s="127"/>
    </row>
    <row r="243" spans="2:41" ht="13" x14ac:dyDescent="0.3">
      <c r="B243" s="586"/>
      <c r="C243" s="114"/>
      <c r="D243" s="114"/>
      <c r="E243" s="181">
        <v>40787</v>
      </c>
      <c r="F243" s="114">
        <v>3.5</v>
      </c>
      <c r="G243" s="202">
        <f t="shared" si="39"/>
        <v>787.5</v>
      </c>
      <c r="H243" s="114">
        <v>19</v>
      </c>
      <c r="I243" s="202">
        <f t="shared" si="43"/>
        <v>-400</v>
      </c>
      <c r="J243" s="328">
        <v>0.02</v>
      </c>
      <c r="K243" s="127"/>
      <c r="L243" s="203">
        <f t="shared" si="40"/>
        <v>38000</v>
      </c>
      <c r="M243" s="203">
        <f t="shared" si="41"/>
        <v>15750</v>
      </c>
      <c r="N243" s="205">
        <f t="shared" si="42"/>
        <v>2</v>
      </c>
      <c r="O243" s="127"/>
      <c r="P243" s="127"/>
      <c r="Q243" s="127"/>
      <c r="R243" s="127"/>
      <c r="S243" s="127"/>
      <c r="T243" s="127"/>
      <c r="U243" s="127"/>
      <c r="V243" s="127"/>
      <c r="W243" s="208"/>
      <c r="X243" s="208"/>
      <c r="Y243" s="208"/>
      <c r="Z243" s="208"/>
      <c r="AA243" s="127"/>
      <c r="AB243" s="127"/>
      <c r="AC243" s="127"/>
      <c r="AD243" s="127"/>
      <c r="AE243" s="127"/>
      <c r="AF243" s="127"/>
      <c r="AG243" s="127"/>
      <c r="AH243" s="127"/>
      <c r="AI243" s="127"/>
      <c r="AJ243" s="127"/>
      <c r="AK243" s="127"/>
      <c r="AL243" s="127"/>
      <c r="AM243" s="127"/>
      <c r="AN243" s="127"/>
      <c r="AO243" s="127"/>
    </row>
    <row r="244" spans="2:41" ht="13" x14ac:dyDescent="0.3">
      <c r="B244" s="586"/>
      <c r="C244" s="114"/>
      <c r="D244" s="114"/>
      <c r="E244" s="181">
        <v>40801</v>
      </c>
      <c r="F244" s="114">
        <v>4</v>
      </c>
      <c r="G244" s="202">
        <f t="shared" si="39"/>
        <v>900</v>
      </c>
      <c r="H244" s="114">
        <v>16</v>
      </c>
      <c r="I244" s="202">
        <f t="shared" si="43"/>
        <v>-400</v>
      </c>
      <c r="J244" s="328">
        <v>0.02</v>
      </c>
      <c r="K244" s="127"/>
      <c r="L244" s="203">
        <f t="shared" si="40"/>
        <v>32000</v>
      </c>
      <c r="M244" s="203">
        <f t="shared" si="41"/>
        <v>18000</v>
      </c>
      <c r="N244" s="205">
        <f t="shared" si="42"/>
        <v>2</v>
      </c>
      <c r="O244" s="127"/>
      <c r="P244" s="127"/>
      <c r="Q244" s="127"/>
      <c r="R244" s="127"/>
      <c r="S244" s="127"/>
      <c r="T244" s="127"/>
      <c r="U244" s="127"/>
      <c r="V244" s="127"/>
      <c r="W244" s="208"/>
      <c r="X244" s="208"/>
      <c r="Y244" s="208"/>
      <c r="Z244" s="208"/>
      <c r="AA244" s="127"/>
      <c r="AB244" s="127"/>
      <c r="AC244" s="127"/>
      <c r="AD244" s="127"/>
      <c r="AE244" s="127"/>
      <c r="AF244" s="127"/>
      <c r="AG244" s="127"/>
      <c r="AH244" s="127"/>
      <c r="AI244" s="127"/>
      <c r="AJ244" s="127"/>
      <c r="AK244" s="127"/>
      <c r="AL244" s="127"/>
      <c r="AM244" s="127"/>
      <c r="AN244" s="127"/>
      <c r="AO244" s="127"/>
    </row>
    <row r="245" spans="2:41" ht="13" x14ac:dyDescent="0.3">
      <c r="B245" s="586"/>
      <c r="C245" s="114">
        <v>1</v>
      </c>
      <c r="D245" s="114"/>
      <c r="E245" s="181">
        <v>40817</v>
      </c>
      <c r="F245" s="114">
        <v>2</v>
      </c>
      <c r="G245" s="202">
        <f t="shared" si="39"/>
        <v>450</v>
      </c>
      <c r="H245" s="114">
        <v>15</v>
      </c>
      <c r="I245" s="202">
        <f t="shared" si="43"/>
        <v>-133.33333333333334</v>
      </c>
      <c r="J245" s="328">
        <v>0</v>
      </c>
      <c r="K245" s="127"/>
      <c r="L245" s="203">
        <f t="shared" si="40"/>
        <v>30000</v>
      </c>
      <c r="M245" s="203">
        <f t="shared" si="41"/>
        <v>9000</v>
      </c>
      <c r="N245" s="205">
        <f t="shared" si="42"/>
        <v>0</v>
      </c>
      <c r="O245" s="127"/>
      <c r="P245" s="127"/>
      <c r="Q245" s="127"/>
      <c r="R245" s="127"/>
      <c r="S245" s="127"/>
      <c r="T245" s="127"/>
      <c r="U245" s="127"/>
      <c r="V245" s="127"/>
      <c r="W245" s="208"/>
      <c r="X245" s="208"/>
      <c r="Y245" s="208"/>
      <c r="Z245" s="208"/>
      <c r="AA245" s="127"/>
      <c r="AB245" s="127"/>
      <c r="AC245" s="127"/>
      <c r="AD245" s="127"/>
      <c r="AE245" s="127"/>
      <c r="AF245" s="127"/>
      <c r="AG245" s="127"/>
      <c r="AH245" s="127"/>
      <c r="AI245" s="127"/>
      <c r="AJ245" s="127"/>
      <c r="AK245" s="127"/>
      <c r="AL245" s="127"/>
      <c r="AM245" s="127"/>
      <c r="AN245" s="127"/>
      <c r="AO245" s="127"/>
    </row>
    <row r="246" spans="2:41" ht="13" x14ac:dyDescent="0.3">
      <c r="B246" s="586"/>
      <c r="C246" s="114">
        <v>1</v>
      </c>
      <c r="D246" s="114"/>
      <c r="E246" s="181">
        <v>40831</v>
      </c>
      <c r="F246" s="114">
        <v>0.5</v>
      </c>
      <c r="G246" s="202">
        <f t="shared" si="39"/>
        <v>112.5</v>
      </c>
      <c r="H246" s="114">
        <v>12</v>
      </c>
      <c r="I246" s="202">
        <f t="shared" si="43"/>
        <v>-400</v>
      </c>
      <c r="J246" s="328">
        <v>0</v>
      </c>
      <c r="K246" s="127"/>
      <c r="L246" s="203">
        <f t="shared" si="40"/>
        <v>24000</v>
      </c>
      <c r="M246" s="203">
        <f t="shared" si="41"/>
        <v>2250</v>
      </c>
      <c r="N246" s="205">
        <f t="shared" si="42"/>
        <v>0</v>
      </c>
      <c r="O246" s="127"/>
      <c r="P246" s="127"/>
      <c r="Q246" s="127"/>
      <c r="R246" s="127"/>
      <c r="S246" s="127"/>
      <c r="T246" s="127"/>
      <c r="U246" s="127"/>
      <c r="V246" s="127"/>
      <c r="W246" s="208"/>
      <c r="X246" s="208"/>
      <c r="Y246" s="208"/>
      <c r="Z246" s="208"/>
      <c r="AA246" s="127"/>
      <c r="AB246" s="127"/>
      <c r="AC246" s="127"/>
      <c r="AD246" s="127"/>
      <c r="AE246" s="127"/>
      <c r="AF246" s="127"/>
      <c r="AG246" s="127"/>
      <c r="AH246" s="127"/>
      <c r="AI246" s="127"/>
      <c r="AJ246" s="127"/>
      <c r="AK246" s="127"/>
      <c r="AL246" s="127"/>
      <c r="AM246" s="127"/>
      <c r="AN246" s="127"/>
      <c r="AO246" s="127"/>
    </row>
    <row r="247" spans="2:41" ht="13" x14ac:dyDescent="0.3">
      <c r="B247" s="586"/>
      <c r="C247" s="114">
        <v>1</v>
      </c>
      <c r="D247" s="114"/>
      <c r="E247" s="181">
        <v>40848</v>
      </c>
      <c r="F247" s="114">
        <v>0</v>
      </c>
      <c r="G247" s="202">
        <f t="shared" si="39"/>
        <v>0</v>
      </c>
      <c r="H247" s="114">
        <v>8</v>
      </c>
      <c r="I247" s="202">
        <f t="shared" si="43"/>
        <v>-533.33333333333337</v>
      </c>
      <c r="J247" s="328">
        <v>0</v>
      </c>
      <c r="K247" s="127"/>
      <c r="L247" s="203">
        <f t="shared" si="40"/>
        <v>16000</v>
      </c>
      <c r="M247" s="203">
        <f t="shared" si="41"/>
        <v>0</v>
      </c>
      <c r="N247" s="205">
        <f t="shared" si="42"/>
        <v>0</v>
      </c>
      <c r="O247" s="127"/>
      <c r="P247" s="127"/>
      <c r="Q247" s="127"/>
      <c r="R247" s="127"/>
      <c r="S247" s="127"/>
      <c r="T247" s="127"/>
      <c r="U247" s="127"/>
      <c r="V247" s="127"/>
      <c r="W247" s="208"/>
      <c r="X247" s="208"/>
      <c r="Y247" s="208"/>
      <c r="Z247" s="208"/>
      <c r="AA247" s="127"/>
      <c r="AB247" s="127"/>
      <c r="AC247" s="127"/>
      <c r="AD247" s="127"/>
      <c r="AE247" s="127"/>
      <c r="AF247" s="127"/>
      <c r="AG247" s="127"/>
      <c r="AH247" s="127"/>
      <c r="AI247" s="127"/>
      <c r="AJ247" s="127"/>
      <c r="AK247" s="127"/>
      <c r="AL247" s="127"/>
      <c r="AM247" s="127"/>
      <c r="AN247" s="127"/>
      <c r="AO247" s="127"/>
    </row>
    <row r="248" spans="2:41" ht="13" x14ac:dyDescent="0.3">
      <c r="B248" s="586"/>
      <c r="C248" s="114">
        <v>1</v>
      </c>
      <c r="D248" s="114"/>
      <c r="E248" s="181">
        <v>40862</v>
      </c>
      <c r="F248" s="114">
        <v>0</v>
      </c>
      <c r="G248" s="202">
        <f t="shared" si="39"/>
        <v>0</v>
      </c>
      <c r="H248" s="114">
        <v>7</v>
      </c>
      <c r="I248" s="202">
        <f t="shared" si="43"/>
        <v>-133.33333333333334</v>
      </c>
      <c r="J248" s="328">
        <v>0</v>
      </c>
      <c r="K248" s="127"/>
      <c r="L248" s="203">
        <f t="shared" si="40"/>
        <v>14000</v>
      </c>
      <c r="M248" s="203">
        <f t="shared" si="41"/>
        <v>0</v>
      </c>
      <c r="N248" s="205">
        <f t="shared" si="42"/>
        <v>0</v>
      </c>
      <c r="O248" s="127"/>
      <c r="P248" s="127"/>
      <c r="Q248" s="127"/>
      <c r="R248" s="127"/>
      <c r="S248" s="127"/>
      <c r="T248" s="127"/>
      <c r="U248" s="127"/>
      <c r="V248" s="127"/>
      <c r="W248" s="208"/>
      <c r="X248" s="208"/>
      <c r="Y248" s="208"/>
      <c r="Z248" s="208"/>
      <c r="AA248" s="127"/>
      <c r="AB248" s="127"/>
      <c r="AC248" s="127"/>
      <c r="AD248" s="127"/>
      <c r="AE248" s="127"/>
      <c r="AF248" s="127"/>
      <c r="AG248" s="127"/>
      <c r="AH248" s="127"/>
      <c r="AI248" s="127"/>
      <c r="AJ248" s="127"/>
      <c r="AK248" s="127"/>
      <c r="AL248" s="127"/>
      <c r="AM248" s="127"/>
      <c r="AN248" s="127"/>
      <c r="AO248" s="127"/>
    </row>
    <row r="249" spans="2:41" ht="13" x14ac:dyDescent="0.3">
      <c r="B249" s="586"/>
      <c r="C249" s="114">
        <v>1</v>
      </c>
      <c r="D249" s="114"/>
      <c r="E249" s="181">
        <v>40878</v>
      </c>
      <c r="F249" s="114">
        <v>0</v>
      </c>
      <c r="G249" s="202">
        <f t="shared" si="39"/>
        <v>0</v>
      </c>
      <c r="H249" s="114">
        <v>7</v>
      </c>
      <c r="I249" s="202">
        <f t="shared" si="43"/>
        <v>0</v>
      </c>
      <c r="J249" s="328">
        <v>0</v>
      </c>
      <c r="K249" s="127"/>
      <c r="L249" s="203">
        <f t="shared" si="40"/>
        <v>14000</v>
      </c>
      <c r="M249" s="203">
        <f t="shared" si="41"/>
        <v>0</v>
      </c>
      <c r="N249" s="205">
        <f t="shared" si="42"/>
        <v>0</v>
      </c>
      <c r="O249" s="127"/>
      <c r="P249" s="127"/>
      <c r="Q249" s="127"/>
      <c r="R249" s="127"/>
      <c r="S249" s="127"/>
      <c r="T249" s="127"/>
      <c r="U249" s="127"/>
      <c r="V249" s="127"/>
      <c r="W249" s="208"/>
      <c r="X249" s="208"/>
      <c r="Y249" s="208"/>
      <c r="Z249" s="208"/>
      <c r="AA249" s="127"/>
      <c r="AB249" s="127"/>
      <c r="AC249" s="127"/>
      <c r="AD249" s="127"/>
      <c r="AE249" s="127"/>
      <c r="AF249" s="127"/>
      <c r="AG249" s="127"/>
      <c r="AH249" s="127"/>
      <c r="AI249" s="127"/>
      <c r="AJ249" s="127"/>
      <c r="AK249" s="127"/>
      <c r="AL249" s="127"/>
      <c r="AM249" s="127"/>
      <c r="AN249" s="127"/>
      <c r="AO249" s="127"/>
    </row>
    <row r="250" spans="2:41" ht="13" x14ac:dyDescent="0.3">
      <c r="B250" s="587"/>
      <c r="C250" s="114">
        <v>1</v>
      </c>
      <c r="D250" s="114"/>
      <c r="E250" s="181">
        <v>40892</v>
      </c>
      <c r="F250" s="114">
        <v>0</v>
      </c>
      <c r="G250" s="207">
        <f t="shared" si="39"/>
        <v>0</v>
      </c>
      <c r="H250" s="114">
        <v>7</v>
      </c>
      <c r="I250" s="202">
        <f t="shared" si="43"/>
        <v>0</v>
      </c>
      <c r="J250" s="328">
        <v>0</v>
      </c>
      <c r="K250" s="127"/>
      <c r="L250" s="203">
        <f t="shared" si="40"/>
        <v>14000</v>
      </c>
      <c r="M250" s="203">
        <f t="shared" si="41"/>
        <v>0</v>
      </c>
      <c r="N250" s="205">
        <f t="shared" si="42"/>
        <v>0</v>
      </c>
      <c r="O250" s="127"/>
      <c r="P250" s="127"/>
      <c r="Q250" s="127"/>
      <c r="R250" s="127"/>
      <c r="S250" s="127"/>
      <c r="T250" s="127"/>
      <c r="U250" s="127"/>
      <c r="V250" s="127"/>
      <c r="W250" s="208"/>
      <c r="X250" s="208"/>
      <c r="Y250" s="208"/>
      <c r="Z250" s="208"/>
      <c r="AA250" s="127"/>
      <c r="AB250" s="127"/>
      <c r="AC250" s="127"/>
      <c r="AD250" s="127"/>
      <c r="AE250" s="127"/>
      <c r="AF250" s="127"/>
      <c r="AG250" s="127"/>
      <c r="AH250" s="127"/>
      <c r="AI250" s="127"/>
      <c r="AJ250" s="127"/>
      <c r="AK250" s="127"/>
      <c r="AL250" s="127"/>
      <c r="AM250" s="127"/>
      <c r="AN250" s="127"/>
      <c r="AO250" s="127"/>
    </row>
    <row r="251" spans="2:41" x14ac:dyDescent="0.25">
      <c r="B251" s="127"/>
      <c r="C251" s="127"/>
      <c r="D251" s="175"/>
      <c r="E251" s="311">
        <v>43100</v>
      </c>
      <c r="F251" s="297">
        <f>G227</f>
        <v>0</v>
      </c>
      <c r="G251" s="297">
        <f>H227</f>
        <v>8</v>
      </c>
      <c r="H251" s="297">
        <v>7</v>
      </c>
      <c r="I251" s="297">
        <f>J227</f>
        <v>0</v>
      </c>
      <c r="J251" s="330">
        <f>K227</f>
        <v>0</v>
      </c>
      <c r="K251" s="297"/>
      <c r="L251" s="297">
        <f>M227</f>
        <v>0</v>
      </c>
      <c r="M251" s="297">
        <f>N227</f>
        <v>0</v>
      </c>
      <c r="N251" s="312">
        <f>O227</f>
        <v>0</v>
      </c>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row>
    <row r="252" spans="2:41" x14ac:dyDescent="0.25">
      <c r="B252" s="127"/>
      <c r="C252" s="127"/>
      <c r="D252" s="175"/>
      <c r="E252" s="127"/>
      <c r="F252" s="127"/>
      <c r="G252" s="127"/>
      <c r="H252" s="127"/>
      <c r="I252" s="127"/>
      <c r="J252" s="324"/>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row>
    <row r="253" spans="2:41" x14ac:dyDescent="0.25">
      <c r="B253" s="127"/>
      <c r="C253" s="127"/>
      <c r="D253" s="175"/>
      <c r="E253" s="127"/>
      <c r="F253" s="127"/>
      <c r="G253" s="127"/>
      <c r="H253" s="127"/>
      <c r="I253" s="127"/>
      <c r="J253" s="324"/>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row>
    <row r="254" spans="2:41" ht="187.5" x14ac:dyDescent="0.25">
      <c r="B254" s="193" t="s">
        <v>162</v>
      </c>
      <c r="C254" s="194" t="s">
        <v>45</v>
      </c>
      <c r="D254" s="194" t="s">
        <v>46</v>
      </c>
      <c r="E254" s="195" t="s">
        <v>38</v>
      </c>
      <c r="F254" s="196" t="s">
        <v>39</v>
      </c>
      <c r="G254" s="197" t="s">
        <v>84</v>
      </c>
      <c r="H254" s="198" t="s">
        <v>86</v>
      </c>
      <c r="I254" s="199" t="s">
        <v>85</v>
      </c>
      <c r="J254" s="327" t="s">
        <v>40</v>
      </c>
      <c r="K254" s="127"/>
      <c r="L254" s="198" t="s">
        <v>42</v>
      </c>
      <c r="M254" s="196" t="s">
        <v>43</v>
      </c>
      <c r="N254" s="200" t="s">
        <v>87</v>
      </c>
      <c r="O254" s="127"/>
      <c r="P254" s="175"/>
      <c r="Q254" s="127"/>
      <c r="R254" s="127"/>
      <c r="S254" s="127"/>
      <c r="T254" s="127"/>
      <c r="U254" s="127"/>
      <c r="V254" s="127"/>
      <c r="W254" s="211"/>
      <c r="X254" s="211"/>
      <c r="Y254" s="211"/>
      <c r="Z254" s="211"/>
      <c r="AA254" s="127"/>
      <c r="AB254" s="127"/>
      <c r="AC254" s="127"/>
      <c r="AD254" s="127"/>
      <c r="AE254" s="127"/>
      <c r="AF254" s="127"/>
      <c r="AG254" s="127"/>
      <c r="AH254" s="127"/>
      <c r="AI254" s="127"/>
      <c r="AJ254" s="127"/>
      <c r="AK254" s="127"/>
      <c r="AL254" s="127"/>
      <c r="AM254" s="127"/>
      <c r="AN254" s="127"/>
      <c r="AO254" s="127"/>
    </row>
    <row r="255" spans="2:41" ht="14.5" x14ac:dyDescent="0.35">
      <c r="B255" s="586"/>
      <c r="C255" s="183">
        <v>1</v>
      </c>
      <c r="D255" s="183"/>
      <c r="E255" s="181">
        <v>40544</v>
      </c>
      <c r="F255" s="183">
        <v>0</v>
      </c>
      <c r="G255" s="202">
        <f t="shared" ref="G255:G278" si="44">M255/20</f>
        <v>0</v>
      </c>
      <c r="H255" s="183">
        <v>5</v>
      </c>
      <c r="I255" s="203"/>
      <c r="J255" s="333">
        <v>0</v>
      </c>
      <c r="K255" s="127"/>
      <c r="L255" s="203">
        <f t="shared" ref="L255:L278" si="45">H255*$M$2</f>
        <v>10000</v>
      </c>
      <c r="M255" s="203">
        <f t="shared" ref="M255:M278" si="46">F255*$M$3</f>
        <v>0</v>
      </c>
      <c r="N255" s="205">
        <f t="shared" ref="N255:N278" si="47">J255*100</f>
        <v>0</v>
      </c>
      <c r="O255" s="127"/>
      <c r="P255" s="127"/>
      <c r="Q255" s="588"/>
      <c r="R255" s="588"/>
      <c r="S255" s="588"/>
      <c r="T255" s="588"/>
      <c r="U255" s="588"/>
      <c r="V255" s="127"/>
      <c r="W255" s="208"/>
      <c r="X255" s="208"/>
      <c r="Y255" s="208"/>
      <c r="Z255" s="208"/>
      <c r="AA255" s="127"/>
      <c r="AB255" s="127"/>
      <c r="AC255" s="127"/>
      <c r="AD255" s="127"/>
      <c r="AE255" s="127"/>
      <c r="AF255" s="127"/>
      <c r="AG255" s="127"/>
      <c r="AH255" s="127"/>
      <c r="AI255" s="127"/>
      <c r="AJ255" s="127"/>
      <c r="AK255" s="127"/>
      <c r="AL255" s="127"/>
      <c r="AM255" s="127"/>
      <c r="AN255" s="127"/>
      <c r="AO255" s="127"/>
    </row>
    <row r="256" spans="2:41" ht="13" x14ac:dyDescent="0.3">
      <c r="B256" s="586"/>
      <c r="C256" s="183">
        <v>1</v>
      </c>
      <c r="D256" s="183"/>
      <c r="E256" s="181">
        <v>40558</v>
      </c>
      <c r="F256" s="183">
        <v>0</v>
      </c>
      <c r="G256" s="202">
        <f t="shared" si="44"/>
        <v>0</v>
      </c>
      <c r="H256" s="183">
        <v>5</v>
      </c>
      <c r="I256" s="202">
        <f t="shared" ref="I256:I278" si="48">(L256-L255)/15</f>
        <v>0</v>
      </c>
      <c r="J256" s="333">
        <v>0</v>
      </c>
      <c r="K256" s="127"/>
      <c r="L256" s="203">
        <f t="shared" si="45"/>
        <v>10000</v>
      </c>
      <c r="M256" s="203">
        <f t="shared" si="46"/>
        <v>0</v>
      </c>
      <c r="N256" s="205">
        <f t="shared" si="47"/>
        <v>0</v>
      </c>
      <c r="O256" s="127"/>
      <c r="P256" s="127"/>
      <c r="Q256" s="127"/>
      <c r="R256" s="127"/>
      <c r="S256" s="127"/>
      <c r="T256" s="127"/>
      <c r="U256" s="127"/>
      <c r="V256" s="127"/>
      <c r="W256" s="208"/>
      <c r="X256" s="208"/>
      <c r="Y256" s="208"/>
      <c r="Z256" s="208"/>
      <c r="AA256" s="127"/>
      <c r="AB256" s="127"/>
      <c r="AC256" s="127"/>
      <c r="AD256" s="127"/>
      <c r="AE256" s="127"/>
      <c r="AF256" s="127"/>
      <c r="AG256" s="127"/>
      <c r="AH256" s="127"/>
      <c r="AI256" s="127"/>
      <c r="AJ256" s="127"/>
      <c r="AK256" s="127"/>
      <c r="AL256" s="127"/>
      <c r="AM256" s="127"/>
      <c r="AN256" s="127"/>
      <c r="AO256" s="127"/>
    </row>
    <row r="257" spans="2:41" ht="14.5" x14ac:dyDescent="0.35">
      <c r="B257" s="586"/>
      <c r="C257" s="183">
        <v>1</v>
      </c>
      <c r="D257" s="183"/>
      <c r="E257" s="181">
        <v>40575</v>
      </c>
      <c r="F257" s="183">
        <v>0</v>
      </c>
      <c r="G257" s="202">
        <f t="shared" si="44"/>
        <v>0</v>
      </c>
      <c r="H257" s="183">
        <v>4.5</v>
      </c>
      <c r="I257" s="202">
        <f t="shared" si="48"/>
        <v>-66.666666666666671</v>
      </c>
      <c r="J257" s="333">
        <v>0</v>
      </c>
      <c r="K257" s="127"/>
      <c r="L257" s="203">
        <f t="shared" si="45"/>
        <v>9000</v>
      </c>
      <c r="M257" s="203">
        <f t="shared" si="46"/>
        <v>0</v>
      </c>
      <c r="N257" s="205">
        <f t="shared" si="47"/>
        <v>0</v>
      </c>
      <c r="O257" s="127"/>
      <c r="P257" s="212"/>
      <c r="Q257" s="213"/>
      <c r="R257" s="206"/>
      <c r="S257" s="214"/>
      <c r="T257" s="215"/>
      <c r="U257" s="215"/>
      <c r="V257" s="127"/>
      <c r="W257" s="208"/>
      <c r="X257" s="208"/>
      <c r="Y257" s="208"/>
      <c r="Z257" s="208"/>
      <c r="AA257" s="127"/>
      <c r="AB257" s="127"/>
      <c r="AC257" s="127"/>
      <c r="AD257" s="127"/>
      <c r="AE257" s="127"/>
      <c r="AF257" s="127"/>
      <c r="AG257" s="127"/>
      <c r="AH257" s="127"/>
      <c r="AI257" s="127"/>
      <c r="AJ257" s="127"/>
      <c r="AK257" s="127"/>
      <c r="AL257" s="127"/>
      <c r="AM257" s="127"/>
      <c r="AN257" s="127"/>
      <c r="AO257" s="127"/>
    </row>
    <row r="258" spans="2:41" ht="14.5" x14ac:dyDescent="0.35">
      <c r="B258" s="586"/>
      <c r="C258" s="183">
        <v>1</v>
      </c>
      <c r="D258" s="183"/>
      <c r="E258" s="181">
        <v>40589</v>
      </c>
      <c r="F258" s="183">
        <v>0.5</v>
      </c>
      <c r="G258" s="202">
        <f t="shared" si="44"/>
        <v>112.5</v>
      </c>
      <c r="H258" s="183">
        <v>4.5</v>
      </c>
      <c r="I258" s="202">
        <f t="shared" si="48"/>
        <v>0</v>
      </c>
      <c r="J258" s="333">
        <v>0</v>
      </c>
      <c r="K258" s="127"/>
      <c r="L258" s="203">
        <f t="shared" si="45"/>
        <v>9000</v>
      </c>
      <c r="M258" s="203">
        <f t="shared" si="46"/>
        <v>2250</v>
      </c>
      <c r="N258" s="205">
        <f t="shared" si="47"/>
        <v>0</v>
      </c>
      <c r="O258" s="127"/>
      <c r="P258" s="212"/>
      <c r="Q258" s="213"/>
      <c r="R258" s="206"/>
      <c r="S258" s="127"/>
      <c r="T258" s="215"/>
      <c r="U258" s="215"/>
      <c r="V258" s="127"/>
      <c r="W258" s="208"/>
      <c r="X258" s="208"/>
      <c r="Y258" s="208"/>
      <c r="Z258" s="208"/>
      <c r="AA258" s="127"/>
      <c r="AB258" s="127"/>
      <c r="AC258" s="127"/>
      <c r="AD258" s="127"/>
      <c r="AE258" s="127"/>
      <c r="AF258" s="127"/>
      <c r="AG258" s="127"/>
      <c r="AH258" s="127"/>
      <c r="AI258" s="127"/>
      <c r="AJ258" s="127"/>
      <c r="AK258" s="127"/>
      <c r="AL258" s="127"/>
      <c r="AM258" s="127"/>
      <c r="AN258" s="127"/>
      <c r="AO258" s="127"/>
    </row>
    <row r="259" spans="2:41" ht="14.5" x14ac:dyDescent="0.35">
      <c r="B259" s="586"/>
      <c r="C259" s="183">
        <v>1</v>
      </c>
      <c r="D259" s="183"/>
      <c r="E259" s="181">
        <v>40603</v>
      </c>
      <c r="F259" s="183">
        <v>0.5</v>
      </c>
      <c r="G259" s="202">
        <f t="shared" si="44"/>
        <v>112.5</v>
      </c>
      <c r="H259" s="183">
        <v>4</v>
      </c>
      <c r="I259" s="202">
        <f t="shared" si="48"/>
        <v>-66.666666666666671</v>
      </c>
      <c r="J259" s="333">
        <v>0</v>
      </c>
      <c r="K259" s="127"/>
      <c r="L259" s="203">
        <f t="shared" si="45"/>
        <v>8000</v>
      </c>
      <c r="M259" s="203">
        <f t="shared" si="46"/>
        <v>2250</v>
      </c>
      <c r="N259" s="205">
        <f t="shared" si="47"/>
        <v>0</v>
      </c>
      <c r="O259" s="127"/>
      <c r="P259" s="212"/>
      <c r="Q259" s="206"/>
      <c r="R259" s="206"/>
      <c r="S259" s="127"/>
      <c r="T259" s="215"/>
      <c r="U259" s="215"/>
      <c r="V259" s="127"/>
      <c r="W259" s="208"/>
      <c r="X259" s="208"/>
      <c r="Y259" s="208"/>
      <c r="Z259" s="208"/>
      <c r="AA259" s="127"/>
      <c r="AB259" s="127"/>
      <c r="AC259" s="127"/>
      <c r="AD259" s="127"/>
      <c r="AE259" s="127"/>
      <c r="AF259" s="127"/>
      <c r="AG259" s="127"/>
      <c r="AH259" s="127"/>
      <c r="AI259" s="127"/>
      <c r="AJ259" s="127"/>
      <c r="AK259" s="127"/>
      <c r="AL259" s="127"/>
      <c r="AM259" s="127"/>
      <c r="AN259" s="127"/>
      <c r="AO259" s="127"/>
    </row>
    <row r="260" spans="2:41" ht="14.5" x14ac:dyDescent="0.35">
      <c r="B260" s="586"/>
      <c r="C260" s="183">
        <v>1</v>
      </c>
      <c r="D260" s="183"/>
      <c r="E260" s="181">
        <v>40617</v>
      </c>
      <c r="F260" s="183">
        <v>0.75</v>
      </c>
      <c r="G260" s="202">
        <f t="shared" si="44"/>
        <v>168.75</v>
      </c>
      <c r="H260" s="183">
        <v>4</v>
      </c>
      <c r="I260" s="202">
        <f t="shared" si="48"/>
        <v>0</v>
      </c>
      <c r="J260" s="333">
        <v>0</v>
      </c>
      <c r="K260" s="127"/>
      <c r="L260" s="203">
        <f t="shared" si="45"/>
        <v>8000</v>
      </c>
      <c r="M260" s="203">
        <f t="shared" si="46"/>
        <v>3375</v>
      </c>
      <c r="N260" s="205">
        <f t="shared" si="47"/>
        <v>0</v>
      </c>
      <c r="O260" s="127"/>
      <c r="P260" s="212"/>
      <c r="Q260" s="206"/>
      <c r="R260" s="206"/>
      <c r="S260" s="127"/>
      <c r="T260" s="215"/>
      <c r="U260" s="215"/>
      <c r="V260" s="127"/>
      <c r="W260" s="208"/>
      <c r="X260" s="208"/>
      <c r="Y260" s="208"/>
      <c r="Z260" s="208"/>
      <c r="AA260" s="127"/>
      <c r="AB260" s="127"/>
      <c r="AC260" s="127"/>
      <c r="AD260" s="127"/>
      <c r="AE260" s="127"/>
      <c r="AF260" s="127"/>
      <c r="AG260" s="127"/>
      <c r="AH260" s="127"/>
      <c r="AI260" s="127"/>
      <c r="AJ260" s="127"/>
      <c r="AK260" s="127"/>
      <c r="AL260" s="127"/>
      <c r="AM260" s="127"/>
      <c r="AN260" s="127"/>
      <c r="AO260" s="127"/>
    </row>
    <row r="261" spans="2:41" ht="14.5" x14ac:dyDescent="0.35">
      <c r="B261" s="586"/>
      <c r="C261" s="183"/>
      <c r="D261" s="183">
        <v>1</v>
      </c>
      <c r="E261" s="181">
        <v>40634</v>
      </c>
      <c r="F261" s="183">
        <v>0.75</v>
      </c>
      <c r="G261" s="202">
        <f t="shared" si="44"/>
        <v>168.75</v>
      </c>
      <c r="H261" s="183">
        <v>4</v>
      </c>
      <c r="I261" s="202">
        <f t="shared" si="48"/>
        <v>0</v>
      </c>
      <c r="J261" s="333">
        <v>0</v>
      </c>
      <c r="K261" s="127"/>
      <c r="L261" s="203">
        <f t="shared" si="45"/>
        <v>8000</v>
      </c>
      <c r="M261" s="203">
        <f t="shared" si="46"/>
        <v>3375</v>
      </c>
      <c r="N261" s="205">
        <f t="shared" si="47"/>
        <v>0</v>
      </c>
      <c r="O261" s="127"/>
      <c r="P261" s="212"/>
      <c r="Q261" s="206"/>
      <c r="R261" s="206"/>
      <c r="S261" s="127"/>
      <c r="T261" s="215"/>
      <c r="U261" s="215"/>
      <c r="V261" s="127"/>
      <c r="W261" s="208"/>
      <c r="X261" s="208"/>
      <c r="Y261" s="208"/>
      <c r="Z261" s="208"/>
      <c r="AA261" s="127"/>
      <c r="AB261" s="127"/>
      <c r="AC261" s="127"/>
      <c r="AD261" s="127"/>
      <c r="AE261" s="127"/>
      <c r="AF261" s="127"/>
      <c r="AG261" s="127"/>
      <c r="AH261" s="127"/>
      <c r="AI261" s="127"/>
      <c r="AJ261" s="127"/>
      <c r="AK261" s="127"/>
      <c r="AL261" s="127"/>
      <c r="AM261" s="127"/>
      <c r="AN261" s="127"/>
      <c r="AO261" s="127"/>
    </row>
    <row r="262" spans="2:41" ht="13" x14ac:dyDescent="0.3">
      <c r="B262" s="586"/>
      <c r="C262" s="183"/>
      <c r="D262" s="183">
        <v>1</v>
      </c>
      <c r="E262" s="181">
        <v>40648</v>
      </c>
      <c r="F262" s="183">
        <v>1</v>
      </c>
      <c r="G262" s="202">
        <f t="shared" si="44"/>
        <v>225</v>
      </c>
      <c r="H262" s="183">
        <v>4</v>
      </c>
      <c r="I262" s="202">
        <f t="shared" si="48"/>
        <v>0</v>
      </c>
      <c r="J262" s="333">
        <v>0</v>
      </c>
      <c r="K262" s="127"/>
      <c r="L262" s="203">
        <f t="shared" si="45"/>
        <v>8000</v>
      </c>
      <c r="M262" s="203">
        <f t="shared" si="46"/>
        <v>4500</v>
      </c>
      <c r="N262" s="205">
        <f t="shared" si="47"/>
        <v>0</v>
      </c>
      <c r="O262" s="127"/>
      <c r="P262" s="187"/>
      <c r="Q262" s="127"/>
      <c r="R262" s="127"/>
      <c r="S262" s="127"/>
      <c r="T262" s="127"/>
      <c r="U262" s="127"/>
      <c r="V262" s="127"/>
      <c r="W262" s="208"/>
      <c r="X262" s="208"/>
      <c r="Y262" s="208"/>
      <c r="Z262" s="208"/>
      <c r="AA262" s="127"/>
      <c r="AB262" s="127"/>
      <c r="AC262" s="127"/>
      <c r="AD262" s="127"/>
      <c r="AE262" s="127"/>
      <c r="AF262" s="127"/>
      <c r="AG262" s="127"/>
      <c r="AH262" s="127"/>
      <c r="AI262" s="127"/>
      <c r="AJ262" s="127"/>
      <c r="AK262" s="127"/>
      <c r="AL262" s="127"/>
      <c r="AM262" s="127"/>
      <c r="AN262" s="127"/>
      <c r="AO262" s="127"/>
    </row>
    <row r="263" spans="2:41" ht="13" x14ac:dyDescent="0.3">
      <c r="B263" s="586"/>
      <c r="C263" s="183"/>
      <c r="D263" s="183">
        <v>1</v>
      </c>
      <c r="E263" s="181">
        <v>40664</v>
      </c>
      <c r="F263" s="183">
        <v>1.5</v>
      </c>
      <c r="G263" s="202">
        <f t="shared" si="44"/>
        <v>337.5</v>
      </c>
      <c r="H263" s="183">
        <v>4</v>
      </c>
      <c r="I263" s="202">
        <f t="shared" si="48"/>
        <v>0</v>
      </c>
      <c r="J263" s="333">
        <v>0</v>
      </c>
      <c r="K263" s="127"/>
      <c r="L263" s="203">
        <f t="shared" si="45"/>
        <v>8000</v>
      </c>
      <c r="M263" s="203">
        <f t="shared" si="46"/>
        <v>6750</v>
      </c>
      <c r="N263" s="205">
        <f t="shared" si="47"/>
        <v>0</v>
      </c>
      <c r="O263" s="127"/>
      <c r="P263" s="127"/>
      <c r="Q263" s="127"/>
      <c r="R263" s="127"/>
      <c r="S263" s="127"/>
      <c r="T263" s="127"/>
      <c r="U263" s="127"/>
      <c r="V263" s="127"/>
      <c r="W263" s="208"/>
      <c r="X263" s="208"/>
      <c r="Y263" s="208"/>
      <c r="Z263" s="208"/>
      <c r="AA263" s="127"/>
      <c r="AB263" s="127"/>
      <c r="AC263" s="127"/>
      <c r="AD263" s="127"/>
      <c r="AE263" s="127"/>
      <c r="AF263" s="127"/>
      <c r="AG263" s="127"/>
      <c r="AH263" s="127"/>
      <c r="AI263" s="127"/>
      <c r="AJ263" s="127"/>
      <c r="AK263" s="127"/>
      <c r="AL263" s="127"/>
      <c r="AM263" s="127"/>
      <c r="AN263" s="127"/>
      <c r="AO263" s="127"/>
    </row>
    <row r="264" spans="2:41" ht="13" x14ac:dyDescent="0.3">
      <c r="B264" s="586"/>
      <c r="C264" s="183"/>
      <c r="D264" s="183">
        <v>1</v>
      </c>
      <c r="E264" s="181">
        <v>40678</v>
      </c>
      <c r="F264" s="183">
        <v>1.5</v>
      </c>
      <c r="G264" s="202">
        <f t="shared" si="44"/>
        <v>337.5</v>
      </c>
      <c r="H264" s="216">
        <v>3.5</v>
      </c>
      <c r="I264" s="202">
        <f t="shared" si="48"/>
        <v>-66.666666666666671</v>
      </c>
      <c r="J264" s="333">
        <v>0.05</v>
      </c>
      <c r="K264" s="127"/>
      <c r="L264" s="203">
        <f t="shared" si="45"/>
        <v>7000</v>
      </c>
      <c r="M264" s="203">
        <f t="shared" si="46"/>
        <v>6750</v>
      </c>
      <c r="N264" s="205">
        <f t="shared" si="47"/>
        <v>5</v>
      </c>
      <c r="O264" s="127"/>
      <c r="P264" s="127"/>
      <c r="Q264" s="127"/>
      <c r="R264" s="127"/>
      <c r="S264" s="127"/>
      <c r="T264" s="127"/>
      <c r="U264" s="127"/>
      <c r="V264" s="127"/>
      <c r="W264" s="208"/>
      <c r="X264" s="208"/>
      <c r="Y264" s="208"/>
      <c r="Z264" s="208"/>
      <c r="AA264" s="127"/>
      <c r="AB264" s="127"/>
      <c r="AC264" s="127"/>
      <c r="AD264" s="127"/>
      <c r="AE264" s="127"/>
      <c r="AF264" s="127"/>
      <c r="AG264" s="127"/>
      <c r="AH264" s="127"/>
      <c r="AI264" s="127"/>
      <c r="AJ264" s="127"/>
      <c r="AK264" s="127"/>
      <c r="AL264" s="127"/>
      <c r="AM264" s="127"/>
      <c r="AN264" s="127"/>
      <c r="AO264" s="127"/>
    </row>
    <row r="265" spans="2:41" ht="13" x14ac:dyDescent="0.3">
      <c r="B265" s="586"/>
      <c r="C265" s="183"/>
      <c r="D265" s="183">
        <v>1</v>
      </c>
      <c r="E265" s="181">
        <v>40695</v>
      </c>
      <c r="F265" s="183">
        <v>1.75</v>
      </c>
      <c r="G265" s="202">
        <f t="shared" si="44"/>
        <v>393.75</v>
      </c>
      <c r="H265" s="216">
        <v>4.5</v>
      </c>
      <c r="I265" s="202">
        <f t="shared" si="48"/>
        <v>133.33333333333334</v>
      </c>
      <c r="J265" s="333">
        <v>0.05</v>
      </c>
      <c r="K265" s="127"/>
      <c r="L265" s="203">
        <f t="shared" si="45"/>
        <v>9000</v>
      </c>
      <c r="M265" s="203">
        <f t="shared" si="46"/>
        <v>7875</v>
      </c>
      <c r="N265" s="205">
        <f t="shared" si="47"/>
        <v>5</v>
      </c>
      <c r="O265" s="127"/>
      <c r="P265" s="127"/>
      <c r="Q265" s="127"/>
      <c r="R265" s="127"/>
      <c r="S265" s="127"/>
      <c r="T265" s="127"/>
      <c r="U265" s="127"/>
      <c r="V265" s="127"/>
      <c r="W265" s="208"/>
      <c r="X265" s="208"/>
      <c r="Y265" s="208"/>
      <c r="Z265" s="208"/>
      <c r="AA265" s="127"/>
      <c r="AB265" s="127"/>
      <c r="AC265" s="127"/>
      <c r="AD265" s="127"/>
      <c r="AE265" s="127"/>
      <c r="AF265" s="127"/>
      <c r="AG265" s="127"/>
      <c r="AH265" s="127"/>
      <c r="AI265" s="127"/>
      <c r="AJ265" s="127"/>
      <c r="AK265" s="127"/>
      <c r="AL265" s="127"/>
      <c r="AM265" s="127"/>
      <c r="AN265" s="127"/>
      <c r="AO265" s="127"/>
    </row>
    <row r="266" spans="2:41" ht="13" x14ac:dyDescent="0.3">
      <c r="B266" s="586"/>
      <c r="C266" s="183"/>
      <c r="D266" s="183">
        <v>1</v>
      </c>
      <c r="E266" s="181">
        <v>40709</v>
      </c>
      <c r="F266" s="183">
        <v>2</v>
      </c>
      <c r="G266" s="202">
        <f t="shared" si="44"/>
        <v>450</v>
      </c>
      <c r="H266" s="216">
        <v>5</v>
      </c>
      <c r="I266" s="202">
        <f t="shared" si="48"/>
        <v>66.666666666666671</v>
      </c>
      <c r="J266" s="333">
        <v>0.05</v>
      </c>
      <c r="K266" s="127"/>
      <c r="L266" s="203">
        <f t="shared" si="45"/>
        <v>10000</v>
      </c>
      <c r="M266" s="203">
        <f t="shared" si="46"/>
        <v>9000</v>
      </c>
      <c r="N266" s="205">
        <f t="shared" si="47"/>
        <v>5</v>
      </c>
      <c r="O266" s="127"/>
      <c r="P266" s="127"/>
      <c r="Q266" s="127"/>
      <c r="R266" s="127"/>
      <c r="S266" s="127"/>
      <c r="T266" s="127"/>
      <c r="U266" s="127"/>
      <c r="V266" s="127"/>
      <c r="W266" s="208"/>
      <c r="X266" s="208"/>
      <c r="Y266" s="208"/>
      <c r="Z266" s="208"/>
      <c r="AA266" s="127"/>
      <c r="AB266" s="127"/>
      <c r="AC266" s="127"/>
      <c r="AD266" s="127"/>
      <c r="AE266" s="127"/>
      <c r="AF266" s="127"/>
      <c r="AG266" s="127"/>
      <c r="AH266" s="127"/>
      <c r="AI266" s="127"/>
      <c r="AJ266" s="127"/>
      <c r="AK266" s="127"/>
      <c r="AL266" s="127"/>
      <c r="AM266" s="127"/>
      <c r="AN266" s="127"/>
      <c r="AO266" s="127"/>
    </row>
    <row r="267" spans="2:41" ht="13" x14ac:dyDescent="0.3">
      <c r="B267" s="586"/>
      <c r="C267" s="183"/>
      <c r="D267" s="183">
        <v>1</v>
      </c>
      <c r="E267" s="181">
        <v>40725</v>
      </c>
      <c r="F267" s="183">
        <v>2</v>
      </c>
      <c r="G267" s="202">
        <f t="shared" si="44"/>
        <v>450</v>
      </c>
      <c r="H267" s="216">
        <v>5.0999999999999996</v>
      </c>
      <c r="I267" s="202">
        <f t="shared" si="48"/>
        <v>13.333333333333334</v>
      </c>
      <c r="J267" s="333">
        <v>0.05</v>
      </c>
      <c r="K267" s="127"/>
      <c r="L267" s="203">
        <f t="shared" si="45"/>
        <v>10200</v>
      </c>
      <c r="M267" s="203">
        <f t="shared" si="46"/>
        <v>9000</v>
      </c>
      <c r="N267" s="205">
        <f t="shared" si="47"/>
        <v>5</v>
      </c>
      <c r="O267" s="127"/>
      <c r="P267" s="127"/>
      <c r="Q267" s="127"/>
      <c r="R267" s="127"/>
      <c r="S267" s="127"/>
      <c r="T267" s="127"/>
      <c r="U267" s="127"/>
      <c r="V267" s="127"/>
      <c r="W267" s="208"/>
      <c r="X267" s="208"/>
      <c r="Y267" s="208"/>
      <c r="Z267" s="208"/>
      <c r="AA267" s="127"/>
      <c r="AB267" s="127"/>
      <c r="AC267" s="127"/>
      <c r="AD267" s="127"/>
      <c r="AE267" s="127"/>
      <c r="AF267" s="127"/>
      <c r="AG267" s="127"/>
      <c r="AH267" s="127"/>
      <c r="AI267" s="127"/>
      <c r="AJ267" s="127"/>
      <c r="AK267" s="127"/>
      <c r="AL267" s="127"/>
      <c r="AM267" s="127"/>
      <c r="AN267" s="127"/>
      <c r="AO267" s="127"/>
    </row>
    <row r="268" spans="2:41" ht="13" x14ac:dyDescent="0.3">
      <c r="B268" s="586"/>
      <c r="C268" s="183"/>
      <c r="D268" s="183">
        <v>1</v>
      </c>
      <c r="E268" s="181">
        <v>40739</v>
      </c>
      <c r="F268" s="183">
        <v>1.75</v>
      </c>
      <c r="G268" s="202">
        <f t="shared" si="44"/>
        <v>393.75</v>
      </c>
      <c r="H268" s="216">
        <v>5.2</v>
      </c>
      <c r="I268" s="202">
        <f t="shared" si="48"/>
        <v>13.333333333333334</v>
      </c>
      <c r="J268" s="333">
        <v>0.05</v>
      </c>
      <c r="K268" s="127"/>
      <c r="L268" s="203">
        <f t="shared" si="45"/>
        <v>10400</v>
      </c>
      <c r="M268" s="203">
        <f t="shared" si="46"/>
        <v>7875</v>
      </c>
      <c r="N268" s="205">
        <f t="shared" si="47"/>
        <v>5</v>
      </c>
      <c r="O268" s="127"/>
      <c r="P268" s="127"/>
      <c r="Q268" s="127"/>
      <c r="R268" s="127"/>
      <c r="S268" s="127"/>
      <c r="T268" s="127"/>
      <c r="U268" s="127"/>
      <c r="V268" s="127"/>
      <c r="W268" s="208"/>
      <c r="X268" s="208"/>
      <c r="Y268" s="208"/>
      <c r="Z268" s="208"/>
      <c r="AA268" s="127"/>
      <c r="AB268" s="127"/>
      <c r="AC268" s="127"/>
      <c r="AD268" s="127"/>
      <c r="AE268" s="127"/>
      <c r="AF268" s="127"/>
      <c r="AG268" s="127"/>
      <c r="AH268" s="127"/>
      <c r="AI268" s="127"/>
      <c r="AJ268" s="127"/>
      <c r="AK268" s="127"/>
      <c r="AL268" s="127"/>
      <c r="AM268" s="127"/>
      <c r="AN268" s="127"/>
      <c r="AO268" s="127"/>
    </row>
    <row r="269" spans="2:41" ht="13" x14ac:dyDescent="0.3">
      <c r="B269" s="586"/>
      <c r="C269" s="183"/>
      <c r="D269" s="183">
        <v>1</v>
      </c>
      <c r="E269" s="181">
        <v>40756</v>
      </c>
      <c r="F269" s="183">
        <v>2</v>
      </c>
      <c r="G269" s="202">
        <f t="shared" si="44"/>
        <v>450</v>
      </c>
      <c r="H269" s="216">
        <v>5.5</v>
      </c>
      <c r="I269" s="202">
        <f t="shared" si="48"/>
        <v>40</v>
      </c>
      <c r="J269" s="333">
        <v>0.05</v>
      </c>
      <c r="K269" s="127"/>
      <c r="L269" s="203">
        <f t="shared" si="45"/>
        <v>11000</v>
      </c>
      <c r="M269" s="203">
        <f t="shared" si="46"/>
        <v>9000</v>
      </c>
      <c r="N269" s="205">
        <f t="shared" si="47"/>
        <v>5</v>
      </c>
      <c r="O269" s="127"/>
      <c r="P269" s="127"/>
      <c r="Q269" s="127"/>
      <c r="R269" s="127"/>
      <c r="S269" s="127"/>
      <c r="T269" s="127"/>
      <c r="U269" s="127"/>
      <c r="V269" s="127"/>
      <c r="W269" s="208"/>
      <c r="X269" s="208"/>
      <c r="Y269" s="208"/>
      <c r="Z269" s="208"/>
      <c r="AA269" s="127"/>
      <c r="AB269" s="127"/>
      <c r="AC269" s="127"/>
      <c r="AD269" s="127"/>
      <c r="AE269" s="127"/>
      <c r="AF269" s="127"/>
      <c r="AG269" s="127"/>
      <c r="AH269" s="127"/>
      <c r="AI269" s="127"/>
      <c r="AJ269" s="127"/>
      <c r="AK269" s="127"/>
      <c r="AL269" s="127"/>
      <c r="AM269" s="127"/>
      <c r="AN269" s="127"/>
      <c r="AO269" s="127"/>
    </row>
    <row r="270" spans="2:41" ht="13" x14ac:dyDescent="0.3">
      <c r="B270" s="586"/>
      <c r="C270" s="183"/>
      <c r="D270" s="183">
        <v>1</v>
      </c>
      <c r="E270" s="181">
        <v>40770</v>
      </c>
      <c r="F270" s="183">
        <v>2.2000000000000002</v>
      </c>
      <c r="G270" s="202">
        <f t="shared" si="44"/>
        <v>495</v>
      </c>
      <c r="H270" s="216">
        <v>6</v>
      </c>
      <c r="I270" s="202">
        <f t="shared" si="48"/>
        <v>66.666666666666671</v>
      </c>
      <c r="J270" s="333">
        <v>0.05</v>
      </c>
      <c r="K270" s="127"/>
      <c r="L270" s="203">
        <f t="shared" si="45"/>
        <v>12000</v>
      </c>
      <c r="M270" s="203">
        <f t="shared" si="46"/>
        <v>9900</v>
      </c>
      <c r="N270" s="205">
        <f t="shared" si="47"/>
        <v>5</v>
      </c>
      <c r="O270" s="127"/>
      <c r="P270" s="127"/>
      <c r="Q270" s="127"/>
      <c r="R270" s="127"/>
      <c r="S270" s="127"/>
      <c r="T270" s="127"/>
      <c r="U270" s="127"/>
      <c r="V270" s="127"/>
      <c r="W270" s="208"/>
      <c r="X270" s="208"/>
      <c r="Y270" s="208"/>
      <c r="Z270" s="208"/>
      <c r="AA270" s="127"/>
      <c r="AB270" s="127"/>
      <c r="AC270" s="127"/>
      <c r="AD270" s="127"/>
      <c r="AE270" s="127"/>
      <c r="AF270" s="127"/>
      <c r="AG270" s="127"/>
      <c r="AH270" s="127"/>
      <c r="AI270" s="127"/>
      <c r="AJ270" s="127"/>
      <c r="AK270" s="127"/>
      <c r="AL270" s="127"/>
      <c r="AM270" s="127"/>
      <c r="AN270" s="127"/>
      <c r="AO270" s="127"/>
    </row>
    <row r="271" spans="2:41" ht="13" x14ac:dyDescent="0.3">
      <c r="B271" s="586"/>
      <c r="C271" s="183"/>
      <c r="D271" s="183">
        <v>1</v>
      </c>
      <c r="E271" s="181">
        <v>40787</v>
      </c>
      <c r="F271" s="183">
        <v>2</v>
      </c>
      <c r="G271" s="202">
        <f t="shared" si="44"/>
        <v>450</v>
      </c>
      <c r="H271" s="216">
        <v>6.2</v>
      </c>
      <c r="I271" s="202">
        <f t="shared" si="48"/>
        <v>26.666666666666668</v>
      </c>
      <c r="J271" s="333">
        <v>0.02</v>
      </c>
      <c r="K271" s="127"/>
      <c r="L271" s="203">
        <f t="shared" si="45"/>
        <v>12400</v>
      </c>
      <c r="M271" s="203">
        <f t="shared" si="46"/>
        <v>9000</v>
      </c>
      <c r="N271" s="205">
        <f t="shared" si="47"/>
        <v>2</v>
      </c>
      <c r="O271" s="127"/>
      <c r="P271" s="127"/>
      <c r="Q271" s="127"/>
      <c r="R271" s="127"/>
      <c r="S271" s="127"/>
      <c r="T271" s="127"/>
      <c r="U271" s="127"/>
      <c r="V271" s="127"/>
      <c r="W271" s="208"/>
      <c r="X271" s="208"/>
      <c r="Y271" s="208"/>
      <c r="Z271" s="208"/>
      <c r="AA271" s="127"/>
      <c r="AB271" s="127"/>
      <c r="AC271" s="127"/>
      <c r="AD271" s="127"/>
      <c r="AE271" s="127"/>
      <c r="AF271" s="127"/>
      <c r="AG271" s="127"/>
      <c r="AH271" s="127"/>
      <c r="AI271" s="127"/>
      <c r="AJ271" s="127"/>
      <c r="AK271" s="127"/>
      <c r="AL271" s="127"/>
      <c r="AM271" s="127"/>
      <c r="AN271" s="127"/>
      <c r="AO271" s="127"/>
    </row>
    <row r="272" spans="2:41" ht="13" x14ac:dyDescent="0.3">
      <c r="B272" s="586"/>
      <c r="C272" s="183"/>
      <c r="D272" s="183">
        <v>1</v>
      </c>
      <c r="E272" s="181">
        <v>40801</v>
      </c>
      <c r="F272" s="183">
        <v>2</v>
      </c>
      <c r="G272" s="202">
        <f t="shared" si="44"/>
        <v>450</v>
      </c>
      <c r="H272" s="216">
        <v>6.5</v>
      </c>
      <c r="I272" s="202">
        <f t="shared" si="48"/>
        <v>40</v>
      </c>
      <c r="J272" s="333">
        <v>0.02</v>
      </c>
      <c r="K272" s="127"/>
      <c r="L272" s="203">
        <f t="shared" si="45"/>
        <v>13000</v>
      </c>
      <c r="M272" s="203">
        <f t="shared" si="46"/>
        <v>9000</v>
      </c>
      <c r="N272" s="205">
        <f t="shared" si="47"/>
        <v>2</v>
      </c>
      <c r="O272" s="127"/>
      <c r="P272" s="127"/>
      <c r="Q272" s="127"/>
      <c r="R272" s="127"/>
      <c r="S272" s="127"/>
      <c r="T272" s="127"/>
      <c r="U272" s="127"/>
      <c r="V272" s="127"/>
      <c r="W272" s="208"/>
      <c r="X272" s="208"/>
      <c r="Y272" s="208"/>
      <c r="Z272" s="208"/>
      <c r="AA272" s="127"/>
      <c r="AB272" s="127"/>
      <c r="AC272" s="127"/>
      <c r="AD272" s="127"/>
      <c r="AE272" s="127"/>
      <c r="AF272" s="127"/>
      <c r="AG272" s="127"/>
      <c r="AH272" s="127"/>
      <c r="AI272" s="127"/>
      <c r="AJ272" s="127"/>
      <c r="AK272" s="127"/>
      <c r="AL272" s="127"/>
      <c r="AM272" s="127"/>
      <c r="AN272" s="127"/>
      <c r="AO272" s="127"/>
    </row>
    <row r="273" spans="2:41" ht="13" x14ac:dyDescent="0.3">
      <c r="B273" s="586"/>
      <c r="C273" s="183">
        <v>1</v>
      </c>
      <c r="D273" s="183"/>
      <c r="E273" s="181">
        <v>40817</v>
      </c>
      <c r="F273" s="183">
        <v>1.5</v>
      </c>
      <c r="G273" s="202">
        <f t="shared" si="44"/>
        <v>337.5</v>
      </c>
      <c r="H273" s="183">
        <v>6.5</v>
      </c>
      <c r="I273" s="202">
        <f t="shared" si="48"/>
        <v>0</v>
      </c>
      <c r="J273" s="333">
        <v>0</v>
      </c>
      <c r="K273" s="127"/>
      <c r="L273" s="203">
        <f t="shared" si="45"/>
        <v>13000</v>
      </c>
      <c r="M273" s="203">
        <f t="shared" si="46"/>
        <v>6750</v>
      </c>
      <c r="N273" s="205">
        <f t="shared" si="47"/>
        <v>0</v>
      </c>
      <c r="O273" s="127"/>
      <c r="P273" s="127"/>
      <c r="Q273" s="127"/>
      <c r="R273" s="127"/>
      <c r="S273" s="127"/>
      <c r="T273" s="127"/>
      <c r="U273" s="127"/>
      <c r="V273" s="127"/>
      <c r="W273" s="208"/>
      <c r="X273" s="208"/>
      <c r="Y273" s="208"/>
      <c r="Z273" s="208"/>
      <c r="AA273" s="127"/>
      <c r="AB273" s="127"/>
      <c r="AC273" s="127"/>
      <c r="AD273" s="127"/>
      <c r="AE273" s="127"/>
      <c r="AF273" s="127"/>
      <c r="AG273" s="127"/>
      <c r="AH273" s="127"/>
      <c r="AI273" s="127"/>
      <c r="AJ273" s="127"/>
      <c r="AK273" s="127"/>
      <c r="AL273" s="127"/>
      <c r="AM273" s="127"/>
      <c r="AN273" s="127"/>
      <c r="AO273" s="127"/>
    </row>
    <row r="274" spans="2:41" ht="13" x14ac:dyDescent="0.3">
      <c r="B274" s="586"/>
      <c r="C274" s="183">
        <v>1</v>
      </c>
      <c r="D274" s="183"/>
      <c r="E274" s="181">
        <v>40831</v>
      </c>
      <c r="F274" s="183">
        <v>1.5</v>
      </c>
      <c r="G274" s="202">
        <f t="shared" si="44"/>
        <v>337.5</v>
      </c>
      <c r="H274" s="183">
        <v>6</v>
      </c>
      <c r="I274" s="202">
        <f t="shared" si="48"/>
        <v>-66.666666666666671</v>
      </c>
      <c r="J274" s="333">
        <v>0</v>
      </c>
      <c r="K274" s="127"/>
      <c r="L274" s="203">
        <f t="shared" si="45"/>
        <v>12000</v>
      </c>
      <c r="M274" s="203">
        <f t="shared" si="46"/>
        <v>6750</v>
      </c>
      <c r="N274" s="205">
        <f t="shared" si="47"/>
        <v>0</v>
      </c>
      <c r="O274" s="127"/>
      <c r="P274" s="127"/>
      <c r="Q274" s="127"/>
      <c r="R274" s="127"/>
      <c r="S274" s="127"/>
      <c r="T274" s="127"/>
      <c r="U274" s="127"/>
      <c r="V274" s="127"/>
      <c r="W274" s="208"/>
      <c r="X274" s="208"/>
      <c r="Y274" s="208"/>
      <c r="Z274" s="208"/>
      <c r="AA274" s="127"/>
      <c r="AB274" s="127"/>
      <c r="AC274" s="127"/>
      <c r="AD274" s="127"/>
      <c r="AE274" s="127"/>
      <c r="AF274" s="127"/>
      <c r="AG274" s="127"/>
      <c r="AH274" s="127"/>
      <c r="AI274" s="127"/>
      <c r="AJ274" s="127"/>
      <c r="AK274" s="127"/>
      <c r="AL274" s="127"/>
      <c r="AM274" s="127"/>
      <c r="AN274" s="127"/>
      <c r="AO274" s="127"/>
    </row>
    <row r="275" spans="2:41" ht="13" x14ac:dyDescent="0.3">
      <c r="B275" s="586"/>
      <c r="C275" s="183">
        <v>1</v>
      </c>
      <c r="D275" s="183"/>
      <c r="E275" s="181">
        <v>40848</v>
      </c>
      <c r="F275" s="183">
        <v>1</v>
      </c>
      <c r="G275" s="202">
        <f t="shared" si="44"/>
        <v>225</v>
      </c>
      <c r="H275" s="183">
        <v>5.5</v>
      </c>
      <c r="I275" s="202">
        <f t="shared" si="48"/>
        <v>-66.666666666666671</v>
      </c>
      <c r="J275" s="333">
        <v>0</v>
      </c>
      <c r="K275" s="127"/>
      <c r="L275" s="203">
        <f t="shared" si="45"/>
        <v>11000</v>
      </c>
      <c r="M275" s="203">
        <f t="shared" si="46"/>
        <v>4500</v>
      </c>
      <c r="N275" s="205">
        <f t="shared" si="47"/>
        <v>0</v>
      </c>
      <c r="O275" s="127"/>
      <c r="P275" s="127"/>
      <c r="Q275" s="127"/>
      <c r="R275" s="127"/>
      <c r="S275" s="127"/>
      <c r="T275" s="127"/>
      <c r="U275" s="127"/>
      <c r="V275" s="127"/>
      <c r="W275" s="208"/>
      <c r="X275" s="208"/>
      <c r="Y275" s="208"/>
      <c r="Z275" s="208"/>
      <c r="AA275" s="127"/>
      <c r="AB275" s="127"/>
      <c r="AC275" s="127"/>
      <c r="AD275" s="127"/>
      <c r="AE275" s="127"/>
      <c r="AF275" s="127"/>
      <c r="AG275" s="127"/>
      <c r="AH275" s="127"/>
      <c r="AI275" s="127"/>
      <c r="AJ275" s="127"/>
      <c r="AK275" s="127"/>
      <c r="AL275" s="127"/>
      <c r="AM275" s="127"/>
      <c r="AN275" s="127"/>
      <c r="AO275" s="127"/>
    </row>
    <row r="276" spans="2:41" ht="13" x14ac:dyDescent="0.3">
      <c r="B276" s="586"/>
      <c r="C276" s="183">
        <v>1</v>
      </c>
      <c r="D276" s="183"/>
      <c r="E276" s="181">
        <v>40862</v>
      </c>
      <c r="F276" s="183">
        <v>0</v>
      </c>
      <c r="G276" s="202">
        <f t="shared" si="44"/>
        <v>0</v>
      </c>
      <c r="H276" s="183">
        <v>5</v>
      </c>
      <c r="I276" s="202">
        <f t="shared" si="48"/>
        <v>-66.666666666666671</v>
      </c>
      <c r="J276" s="333">
        <v>0</v>
      </c>
      <c r="K276" s="127"/>
      <c r="L276" s="203">
        <f t="shared" si="45"/>
        <v>10000</v>
      </c>
      <c r="M276" s="203">
        <f t="shared" si="46"/>
        <v>0</v>
      </c>
      <c r="N276" s="205">
        <f t="shared" si="47"/>
        <v>0</v>
      </c>
      <c r="O276" s="127"/>
      <c r="P276" s="127"/>
      <c r="Q276" s="127"/>
      <c r="R276" s="127"/>
      <c r="S276" s="127"/>
      <c r="T276" s="127"/>
      <c r="U276" s="127"/>
      <c r="V276" s="127"/>
      <c r="W276" s="208"/>
      <c r="X276" s="208"/>
      <c r="Y276" s="208"/>
      <c r="Z276" s="208"/>
      <c r="AA276" s="127"/>
      <c r="AB276" s="127"/>
      <c r="AC276" s="127"/>
      <c r="AD276" s="127"/>
      <c r="AE276" s="127"/>
      <c r="AF276" s="127"/>
      <c r="AG276" s="127"/>
      <c r="AH276" s="127"/>
      <c r="AI276" s="127"/>
      <c r="AJ276" s="127"/>
      <c r="AK276" s="127"/>
      <c r="AL276" s="127"/>
      <c r="AM276" s="127"/>
      <c r="AN276" s="127"/>
      <c r="AO276" s="127"/>
    </row>
    <row r="277" spans="2:41" ht="13" x14ac:dyDescent="0.3">
      <c r="B277" s="586"/>
      <c r="C277" s="183">
        <v>1</v>
      </c>
      <c r="D277" s="183"/>
      <c r="E277" s="181">
        <v>40878</v>
      </c>
      <c r="F277" s="183">
        <v>0</v>
      </c>
      <c r="G277" s="202">
        <f t="shared" si="44"/>
        <v>0</v>
      </c>
      <c r="H277" s="183">
        <v>5</v>
      </c>
      <c r="I277" s="202">
        <f t="shared" si="48"/>
        <v>0</v>
      </c>
      <c r="J277" s="333">
        <v>0</v>
      </c>
      <c r="K277" s="127"/>
      <c r="L277" s="203">
        <f t="shared" si="45"/>
        <v>10000</v>
      </c>
      <c r="M277" s="203">
        <f t="shared" si="46"/>
        <v>0</v>
      </c>
      <c r="N277" s="205">
        <f t="shared" si="47"/>
        <v>0</v>
      </c>
      <c r="O277" s="127"/>
      <c r="P277" s="127"/>
      <c r="Q277" s="127"/>
      <c r="R277" s="127"/>
      <c r="S277" s="127"/>
      <c r="T277" s="127"/>
      <c r="U277" s="127"/>
      <c r="V277" s="127"/>
      <c r="W277" s="208"/>
      <c r="X277" s="208"/>
      <c r="Y277" s="208"/>
      <c r="Z277" s="208"/>
      <c r="AA277" s="127"/>
      <c r="AB277" s="127"/>
      <c r="AC277" s="127"/>
      <c r="AD277" s="127"/>
      <c r="AE277" s="127"/>
      <c r="AF277" s="127"/>
      <c r="AG277" s="127"/>
      <c r="AH277" s="127"/>
      <c r="AI277" s="127"/>
      <c r="AJ277" s="127"/>
      <c r="AK277" s="127"/>
      <c r="AL277" s="127"/>
      <c r="AM277" s="127"/>
      <c r="AN277" s="127"/>
      <c r="AO277" s="127"/>
    </row>
    <row r="278" spans="2:41" ht="13" x14ac:dyDescent="0.3">
      <c r="B278" s="587"/>
      <c r="C278" s="183">
        <v>1</v>
      </c>
      <c r="D278" s="183"/>
      <c r="E278" s="181">
        <v>40892</v>
      </c>
      <c r="F278" s="183">
        <v>0</v>
      </c>
      <c r="G278" s="207">
        <f t="shared" si="44"/>
        <v>0</v>
      </c>
      <c r="H278" s="183">
        <v>5</v>
      </c>
      <c r="I278" s="202">
        <f t="shared" si="48"/>
        <v>0</v>
      </c>
      <c r="J278" s="333">
        <v>0</v>
      </c>
      <c r="K278" s="127"/>
      <c r="L278" s="203">
        <f t="shared" si="45"/>
        <v>10000</v>
      </c>
      <c r="M278" s="203">
        <f t="shared" si="46"/>
        <v>0</v>
      </c>
      <c r="N278" s="205">
        <f t="shared" si="47"/>
        <v>0</v>
      </c>
      <c r="O278" s="127"/>
      <c r="P278" s="127"/>
      <c r="Q278" s="127"/>
      <c r="R278" s="127"/>
      <c r="S278" s="127"/>
      <c r="T278" s="127"/>
      <c r="U278" s="127"/>
      <c r="V278" s="127"/>
      <c r="W278" s="208"/>
      <c r="X278" s="208"/>
      <c r="Y278" s="208"/>
      <c r="Z278" s="208"/>
      <c r="AA278" s="127"/>
      <c r="AB278" s="127"/>
      <c r="AC278" s="127"/>
      <c r="AD278" s="127"/>
      <c r="AE278" s="127"/>
      <c r="AF278" s="127"/>
      <c r="AG278" s="127"/>
      <c r="AH278" s="127"/>
      <c r="AI278" s="127"/>
      <c r="AJ278" s="127"/>
      <c r="AK278" s="127"/>
      <c r="AL278" s="127"/>
      <c r="AM278" s="127"/>
      <c r="AN278" s="127"/>
      <c r="AO278" s="127"/>
    </row>
    <row r="279" spans="2:41" x14ac:dyDescent="0.25">
      <c r="B279" s="127"/>
      <c r="C279" s="127"/>
      <c r="D279" s="175"/>
      <c r="E279" s="311">
        <v>43100</v>
      </c>
      <c r="F279" s="297">
        <f>G255</f>
        <v>0</v>
      </c>
      <c r="G279" s="297">
        <f>H255</f>
        <v>5</v>
      </c>
      <c r="H279" s="297">
        <v>5</v>
      </c>
      <c r="I279" s="297">
        <f>J255</f>
        <v>0</v>
      </c>
      <c r="J279" s="330">
        <f>K255</f>
        <v>0</v>
      </c>
      <c r="K279" s="297"/>
      <c r="L279" s="297">
        <f>M255</f>
        <v>0</v>
      </c>
      <c r="M279" s="297">
        <f>N255</f>
        <v>0</v>
      </c>
      <c r="N279" s="312">
        <f>O255</f>
        <v>0</v>
      </c>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row>
    <row r="280" spans="2:41" x14ac:dyDescent="0.25">
      <c r="B280" s="127"/>
      <c r="C280" s="127"/>
      <c r="D280" s="175"/>
      <c r="E280" s="127"/>
      <c r="F280" s="127"/>
      <c r="G280" s="127"/>
      <c r="H280" s="127"/>
      <c r="I280" s="127"/>
      <c r="J280" s="324"/>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row>
    <row r="281" spans="2:41" x14ac:dyDescent="0.25">
      <c r="B281" s="127"/>
      <c r="C281" s="127"/>
      <c r="D281" s="175"/>
      <c r="E281" s="127"/>
      <c r="F281" s="127"/>
      <c r="G281" s="127"/>
      <c r="H281" s="127"/>
      <c r="I281" s="127"/>
      <c r="J281" s="324"/>
      <c r="K281" s="212"/>
      <c r="L281" s="212"/>
      <c r="M281" s="212"/>
      <c r="N281" s="212"/>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row>
    <row r="282" spans="2:41" x14ac:dyDescent="0.25">
      <c r="B282" s="127"/>
      <c r="C282" s="127"/>
      <c r="D282" s="217"/>
      <c r="E282" s="212"/>
      <c r="F282" s="212"/>
      <c r="G282" s="212"/>
      <c r="H282" s="212"/>
      <c r="I282" s="127"/>
      <c r="J282" s="324"/>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row>
    <row r="283" spans="2:41" x14ac:dyDescent="0.25">
      <c r="B283" s="127"/>
      <c r="C283" s="127"/>
      <c r="D283" s="218"/>
      <c r="E283" s="206"/>
      <c r="F283" s="206"/>
      <c r="G283" s="206"/>
      <c r="H283" s="206"/>
      <c r="I283" s="127"/>
      <c r="J283" s="324"/>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row>
    <row r="284" spans="2:41" x14ac:dyDescent="0.25">
      <c r="B284" s="127"/>
      <c r="C284" s="127"/>
      <c r="D284" s="175"/>
      <c r="E284" s="127"/>
      <c r="F284" s="127"/>
      <c r="G284" s="127"/>
      <c r="H284" s="127"/>
      <c r="I284" s="127"/>
      <c r="J284" s="324"/>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row>
    <row r="285" spans="2:41" x14ac:dyDescent="0.25">
      <c r="B285" s="127"/>
      <c r="C285" s="127"/>
      <c r="D285" s="127"/>
      <c r="E285" s="127"/>
      <c r="F285" s="127"/>
      <c r="G285" s="127"/>
      <c r="H285" s="127"/>
      <c r="I285" s="127"/>
      <c r="J285" s="324"/>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row>
    <row r="286" spans="2:41" x14ac:dyDescent="0.25">
      <c r="B286" s="127"/>
      <c r="C286" s="127"/>
      <c r="D286" s="212"/>
      <c r="E286" s="212"/>
      <c r="F286" s="212"/>
      <c r="G286" s="212"/>
      <c r="H286" s="212"/>
      <c r="I286" s="127"/>
      <c r="J286" s="324"/>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row>
    <row r="287" spans="2:41" x14ac:dyDescent="0.25">
      <c r="B287" s="127"/>
      <c r="C287" s="127"/>
      <c r="D287" s="206"/>
      <c r="E287" s="206"/>
      <c r="F287" s="206"/>
      <c r="G287" s="206"/>
      <c r="H287" s="206"/>
      <c r="I287" s="127"/>
      <c r="J287" s="324"/>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row>
    <row r="288" spans="2:41" x14ac:dyDescent="0.25">
      <c r="B288" s="127"/>
      <c r="C288" s="127"/>
      <c r="D288" s="175"/>
      <c r="E288" s="127"/>
      <c r="F288" s="127"/>
      <c r="G288" s="127"/>
      <c r="H288" s="127"/>
      <c r="I288" s="127"/>
      <c r="J288" s="324"/>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row>
    <row r="289" spans="2:41" x14ac:dyDescent="0.25">
      <c r="B289" s="127"/>
      <c r="C289" s="127"/>
      <c r="D289" s="175"/>
      <c r="E289" s="127"/>
      <c r="F289" s="127"/>
      <c r="G289" s="127"/>
      <c r="H289" s="127"/>
      <c r="I289" s="127"/>
      <c r="J289" s="324"/>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row>
    <row r="290" spans="2:41" x14ac:dyDescent="0.25">
      <c r="B290" s="127"/>
      <c r="C290" s="127"/>
      <c r="D290" s="175"/>
      <c r="E290" s="127"/>
      <c r="F290" s="127"/>
      <c r="G290" s="127"/>
      <c r="H290" s="127"/>
      <c r="I290" s="127"/>
      <c r="J290" s="324"/>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row>
    <row r="291" spans="2:41" x14ac:dyDescent="0.25">
      <c r="B291" s="127"/>
      <c r="C291" s="127"/>
      <c r="D291" s="175"/>
      <c r="E291" s="127"/>
      <c r="F291" s="127"/>
      <c r="G291" s="127"/>
      <c r="H291" s="127"/>
      <c r="I291" s="127"/>
      <c r="J291" s="324"/>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row>
    <row r="292" spans="2:41" x14ac:dyDescent="0.25">
      <c r="B292" s="127"/>
      <c r="C292" s="127"/>
      <c r="D292" s="175"/>
      <c r="E292" s="127"/>
      <c r="F292" s="127"/>
      <c r="G292" s="127"/>
      <c r="H292" s="127"/>
      <c r="I292" s="127"/>
      <c r="J292" s="324"/>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row>
    <row r="293" spans="2:41" x14ac:dyDescent="0.25">
      <c r="B293" s="127"/>
      <c r="C293" s="127"/>
      <c r="D293" s="175"/>
      <c r="E293" s="127"/>
      <c r="F293" s="127"/>
      <c r="G293" s="127"/>
      <c r="H293" s="127"/>
      <c r="I293" s="127"/>
      <c r="J293" s="324"/>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row>
    <row r="294" spans="2:41" x14ac:dyDescent="0.25">
      <c r="B294" s="127"/>
      <c r="C294" s="127"/>
      <c r="D294" s="175"/>
      <c r="E294" s="127"/>
      <c r="F294" s="127"/>
      <c r="G294" s="127"/>
      <c r="H294" s="127"/>
      <c r="I294" s="127"/>
      <c r="J294" s="324"/>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row>
    <row r="295" spans="2:41" x14ac:dyDescent="0.25">
      <c r="B295" s="127"/>
      <c r="C295" s="127"/>
      <c r="D295" s="175"/>
      <c r="E295" s="127"/>
      <c r="F295" s="127"/>
      <c r="G295" s="127"/>
      <c r="H295" s="127"/>
      <c r="I295" s="127"/>
      <c r="J295" s="324"/>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row>
    <row r="296" spans="2:41" x14ac:dyDescent="0.25">
      <c r="B296" s="127"/>
      <c r="C296" s="127"/>
      <c r="D296" s="175"/>
      <c r="E296" s="127"/>
      <c r="F296" s="127"/>
      <c r="G296" s="127"/>
      <c r="H296" s="127"/>
      <c r="I296" s="127"/>
      <c r="J296" s="324"/>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row>
    <row r="297" spans="2:41" x14ac:dyDescent="0.25">
      <c r="B297" s="127"/>
      <c r="C297" s="127"/>
      <c r="D297" s="175"/>
      <c r="E297" s="127"/>
      <c r="F297" s="127"/>
      <c r="G297" s="127"/>
      <c r="H297" s="127"/>
      <c r="I297" s="127"/>
      <c r="J297" s="324"/>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row>
    <row r="298" spans="2:41" x14ac:dyDescent="0.25">
      <c r="B298" s="127"/>
      <c r="C298" s="127"/>
      <c r="D298" s="175"/>
      <c r="E298" s="127"/>
      <c r="F298" s="127"/>
      <c r="G298" s="127"/>
      <c r="H298" s="127"/>
      <c r="I298" s="127"/>
      <c r="J298" s="324"/>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row>
    <row r="299" spans="2:41" x14ac:dyDescent="0.25">
      <c r="B299" s="127"/>
      <c r="C299" s="127"/>
      <c r="D299" s="175"/>
      <c r="E299" s="127"/>
      <c r="F299" s="127"/>
      <c r="G299" s="127"/>
      <c r="H299" s="127"/>
      <c r="I299" s="127"/>
      <c r="J299" s="324"/>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row>
    <row r="300" spans="2:41" x14ac:dyDescent="0.25">
      <c r="B300" s="127"/>
      <c r="C300" s="127"/>
      <c r="D300" s="175"/>
      <c r="E300" s="127"/>
      <c r="F300" s="127"/>
      <c r="G300" s="127"/>
      <c r="H300" s="127"/>
      <c r="I300" s="127"/>
      <c r="J300" s="324"/>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row>
    <row r="301" spans="2:41" x14ac:dyDescent="0.25">
      <c r="B301" s="127"/>
      <c r="C301" s="127"/>
      <c r="D301" s="175"/>
      <c r="E301" s="127"/>
      <c r="F301" s="127"/>
      <c r="G301" s="127"/>
      <c r="H301" s="127"/>
      <c r="I301" s="127"/>
      <c r="J301" s="324"/>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row>
    <row r="302" spans="2:41" x14ac:dyDescent="0.25">
      <c r="B302" s="127"/>
      <c r="C302" s="127"/>
      <c r="D302" s="175"/>
      <c r="E302" s="127"/>
      <c r="F302" s="127"/>
      <c r="G302" s="127"/>
      <c r="H302" s="127"/>
      <c r="I302" s="127"/>
      <c r="J302" s="324"/>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row>
    <row r="303" spans="2:41" x14ac:dyDescent="0.25">
      <c r="B303" s="127"/>
      <c r="C303" s="127"/>
      <c r="D303" s="175"/>
      <c r="E303" s="127"/>
      <c r="F303" s="127"/>
      <c r="G303" s="127"/>
      <c r="H303" s="127"/>
      <c r="I303" s="127"/>
      <c r="J303" s="324"/>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row>
    <row r="304" spans="2:41" x14ac:dyDescent="0.25">
      <c r="B304" s="127"/>
      <c r="C304" s="127"/>
      <c r="D304" s="175"/>
      <c r="E304" s="127"/>
      <c r="F304" s="127"/>
      <c r="G304" s="127"/>
      <c r="H304" s="127"/>
      <c r="I304" s="127"/>
      <c r="J304" s="324"/>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row>
    <row r="305" spans="2:41" x14ac:dyDescent="0.25">
      <c r="B305" s="127"/>
      <c r="C305" s="127"/>
      <c r="D305" s="175"/>
      <c r="E305" s="127"/>
      <c r="F305" s="127"/>
      <c r="G305" s="127"/>
      <c r="H305" s="127"/>
      <c r="I305" s="127"/>
      <c r="J305" s="324"/>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row>
    <row r="306" spans="2:41" x14ac:dyDescent="0.25">
      <c r="B306" s="127"/>
      <c r="C306" s="127"/>
      <c r="D306" s="175"/>
      <c r="E306" s="127"/>
      <c r="F306" s="127"/>
      <c r="G306" s="127"/>
      <c r="H306" s="127"/>
      <c r="I306" s="127"/>
      <c r="J306" s="324"/>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row>
    <row r="307" spans="2:41" x14ac:dyDescent="0.25">
      <c r="B307" s="127"/>
      <c r="C307" s="127"/>
      <c r="D307" s="175"/>
      <c r="E307" s="127"/>
      <c r="F307" s="127"/>
      <c r="G307" s="127"/>
      <c r="H307" s="127"/>
      <c r="I307" s="127"/>
      <c r="J307" s="324"/>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row>
    <row r="308" spans="2:41" x14ac:dyDescent="0.25">
      <c r="B308" s="127"/>
      <c r="C308" s="127"/>
      <c r="D308" s="175"/>
      <c r="E308" s="127"/>
      <c r="F308" s="127"/>
      <c r="G308" s="127"/>
      <c r="H308" s="127"/>
      <c r="I308" s="127"/>
      <c r="J308" s="324"/>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row>
    <row r="309" spans="2:41" x14ac:dyDescent="0.25">
      <c r="B309" s="127"/>
      <c r="C309" s="127"/>
      <c r="D309" s="175"/>
      <c r="E309" s="127"/>
      <c r="F309" s="127"/>
      <c r="G309" s="127"/>
      <c r="H309" s="127"/>
      <c r="I309" s="127"/>
      <c r="J309" s="324"/>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row>
    <row r="310" spans="2:41" x14ac:dyDescent="0.25">
      <c r="B310" s="127"/>
      <c r="C310" s="127"/>
      <c r="D310" s="175"/>
      <c r="E310" s="127"/>
      <c r="F310" s="127"/>
      <c r="G310" s="127"/>
      <c r="H310" s="127"/>
      <c r="I310" s="127"/>
      <c r="J310" s="324"/>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row>
    <row r="311" spans="2:41" x14ac:dyDescent="0.25">
      <c r="B311" s="127"/>
      <c r="C311" s="127"/>
      <c r="D311" s="175"/>
      <c r="E311" s="127"/>
      <c r="F311" s="127"/>
      <c r="G311" s="127"/>
      <c r="H311" s="127"/>
      <c r="I311" s="127"/>
      <c r="J311" s="324"/>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row>
    <row r="312" spans="2:41" x14ac:dyDescent="0.25">
      <c r="B312" s="127"/>
      <c r="C312" s="127"/>
      <c r="D312" s="175"/>
      <c r="E312" s="127"/>
      <c r="F312" s="127"/>
      <c r="G312" s="127"/>
      <c r="H312" s="127"/>
      <c r="I312" s="127"/>
      <c r="J312" s="324"/>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row>
    <row r="313" spans="2:41" x14ac:dyDescent="0.25">
      <c r="B313" s="127"/>
      <c r="C313" s="127"/>
      <c r="D313" s="175"/>
      <c r="E313" s="127"/>
      <c r="F313" s="127"/>
      <c r="G313" s="127"/>
      <c r="H313" s="127"/>
      <c r="I313" s="127"/>
      <c r="J313" s="324"/>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row>
    <row r="314" spans="2:41" x14ac:dyDescent="0.25">
      <c r="B314" s="127"/>
      <c r="C314" s="127"/>
      <c r="D314" s="175"/>
      <c r="E314" s="127"/>
      <c r="F314" s="127"/>
      <c r="G314" s="127"/>
      <c r="H314" s="127"/>
      <c r="I314" s="127"/>
      <c r="J314" s="324"/>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row>
    <row r="315" spans="2:41" x14ac:dyDescent="0.25">
      <c r="B315" s="127"/>
      <c r="C315" s="127"/>
      <c r="D315" s="175"/>
      <c r="E315" s="127"/>
      <c r="F315" s="127"/>
      <c r="G315" s="127"/>
      <c r="H315" s="127"/>
      <c r="I315" s="127"/>
      <c r="J315" s="324"/>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row>
    <row r="316" spans="2:41" x14ac:dyDescent="0.25">
      <c r="B316" s="127"/>
      <c r="C316" s="127"/>
      <c r="D316" s="175"/>
      <c r="E316" s="127"/>
      <c r="F316" s="127"/>
      <c r="G316" s="127"/>
      <c r="H316" s="127"/>
      <c r="I316" s="127"/>
      <c r="J316" s="324"/>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row>
    <row r="317" spans="2:41" x14ac:dyDescent="0.25">
      <c r="B317" s="127"/>
      <c r="C317" s="127"/>
      <c r="D317" s="175"/>
      <c r="E317" s="127"/>
      <c r="F317" s="127"/>
      <c r="G317" s="127"/>
      <c r="H317" s="127"/>
      <c r="I317" s="127"/>
      <c r="J317" s="324"/>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row>
    <row r="318" spans="2:41" x14ac:dyDescent="0.25">
      <c r="B318" s="127"/>
      <c r="C318" s="127"/>
      <c r="D318" s="175"/>
      <c r="E318" s="127"/>
      <c r="F318" s="127"/>
      <c r="G318" s="127"/>
      <c r="H318" s="127"/>
      <c r="I318" s="127"/>
      <c r="J318" s="324"/>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row>
    <row r="319" spans="2:41" x14ac:dyDescent="0.25">
      <c r="B319" s="127"/>
      <c r="C319" s="127"/>
      <c r="D319" s="175"/>
      <c r="E319" s="127"/>
      <c r="F319" s="127"/>
      <c r="G319" s="127"/>
      <c r="H319" s="127"/>
      <c r="I319" s="127"/>
      <c r="J319" s="324"/>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row>
    <row r="320" spans="2:41" x14ac:dyDescent="0.25">
      <c r="B320" s="127"/>
      <c r="C320" s="127"/>
      <c r="D320" s="175"/>
      <c r="E320" s="127"/>
      <c r="F320" s="127"/>
      <c r="G320" s="127"/>
      <c r="H320" s="127"/>
      <c r="I320" s="127"/>
      <c r="J320" s="324"/>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row>
    <row r="321" spans="2:41" x14ac:dyDescent="0.25">
      <c r="B321" s="127"/>
      <c r="C321" s="127"/>
      <c r="D321" s="175"/>
      <c r="E321" s="127"/>
      <c r="F321" s="127"/>
      <c r="G321" s="127"/>
      <c r="H321" s="127"/>
      <c r="I321" s="127"/>
      <c r="J321" s="324"/>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row>
    <row r="322" spans="2:41" x14ac:dyDescent="0.25">
      <c r="B322" s="127"/>
      <c r="C322" s="127"/>
      <c r="D322" s="175"/>
      <c r="E322" s="127"/>
      <c r="F322" s="127"/>
      <c r="G322" s="127"/>
      <c r="H322" s="127"/>
      <c r="I322" s="127"/>
      <c r="J322" s="324"/>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row>
    <row r="323" spans="2:41" x14ac:dyDescent="0.25">
      <c r="B323" s="127"/>
      <c r="C323" s="127"/>
      <c r="D323" s="175"/>
      <c r="E323" s="127"/>
      <c r="F323" s="127"/>
      <c r="G323" s="127"/>
      <c r="H323" s="127"/>
      <c r="I323" s="127"/>
      <c r="J323" s="324"/>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row>
    <row r="324" spans="2:41" x14ac:dyDescent="0.25">
      <c r="B324" s="127"/>
      <c r="C324" s="127"/>
      <c r="D324" s="175"/>
      <c r="E324" s="127"/>
      <c r="F324" s="127"/>
      <c r="G324" s="127"/>
      <c r="H324" s="127"/>
      <c r="I324" s="127"/>
      <c r="J324" s="324"/>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row>
    <row r="325" spans="2:41" x14ac:dyDescent="0.25">
      <c r="B325" s="127"/>
      <c r="C325" s="127"/>
      <c r="D325" s="175"/>
      <c r="E325" s="127"/>
      <c r="F325" s="127"/>
      <c r="G325" s="127"/>
      <c r="H325" s="127"/>
      <c r="I325" s="127"/>
      <c r="J325" s="324"/>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row>
    <row r="326" spans="2:41" x14ac:dyDescent="0.25">
      <c r="B326" s="127"/>
      <c r="C326" s="127"/>
      <c r="D326" s="175"/>
      <c r="E326" s="127"/>
      <c r="F326" s="127"/>
      <c r="G326" s="127"/>
      <c r="H326" s="127"/>
      <c r="I326" s="127"/>
      <c r="J326" s="324"/>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row>
    <row r="327" spans="2:41" x14ac:dyDescent="0.25">
      <c r="B327" s="127"/>
      <c r="C327" s="127"/>
      <c r="D327" s="175"/>
      <c r="E327" s="127"/>
      <c r="F327" s="127"/>
      <c r="G327" s="127"/>
      <c r="H327" s="127"/>
      <c r="I327" s="127"/>
      <c r="J327" s="324"/>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row>
    <row r="328" spans="2:41" x14ac:dyDescent="0.25">
      <c r="B328" s="127"/>
      <c r="C328" s="127"/>
      <c r="D328" s="175"/>
      <c r="E328" s="127"/>
      <c r="F328" s="127"/>
      <c r="G328" s="127"/>
      <c r="H328" s="127"/>
      <c r="I328" s="127"/>
      <c r="J328" s="324"/>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row>
    <row r="329" spans="2:41" x14ac:dyDescent="0.25">
      <c r="B329" s="127"/>
      <c r="C329" s="127"/>
      <c r="D329" s="175"/>
      <c r="E329" s="127"/>
      <c r="F329" s="127"/>
      <c r="G329" s="127"/>
      <c r="H329" s="127"/>
      <c r="I329" s="127"/>
      <c r="J329" s="324"/>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row>
    <row r="330" spans="2:41" x14ac:dyDescent="0.25">
      <c r="B330" s="127"/>
      <c r="C330" s="127"/>
      <c r="D330" s="175"/>
      <c r="E330" s="127"/>
      <c r="F330" s="127"/>
      <c r="G330" s="127"/>
      <c r="H330" s="127"/>
      <c r="I330" s="127"/>
      <c r="J330" s="324"/>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row>
    <row r="331" spans="2:41" x14ac:dyDescent="0.25">
      <c r="B331" s="127"/>
      <c r="C331" s="127"/>
      <c r="D331" s="175"/>
      <c r="E331" s="127"/>
      <c r="F331" s="127"/>
      <c r="G331" s="127"/>
      <c r="H331" s="127"/>
      <c r="I331" s="127"/>
      <c r="J331" s="324"/>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row>
    <row r="332" spans="2:41" x14ac:dyDescent="0.25">
      <c r="B332" s="127"/>
      <c r="C332" s="127"/>
      <c r="D332" s="175"/>
      <c r="E332" s="127"/>
      <c r="F332" s="127"/>
      <c r="G332" s="127"/>
      <c r="H332" s="127"/>
      <c r="I332" s="127"/>
      <c r="J332" s="324"/>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row>
    <row r="333" spans="2:41" x14ac:dyDescent="0.25">
      <c r="B333" s="127"/>
      <c r="C333" s="127"/>
      <c r="D333" s="175"/>
      <c r="E333" s="127"/>
      <c r="F333" s="127"/>
      <c r="G333" s="127"/>
      <c r="H333" s="127"/>
      <c r="I333" s="127"/>
      <c r="J333" s="324"/>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row>
    <row r="334" spans="2:41" x14ac:dyDescent="0.25">
      <c r="B334" s="127"/>
      <c r="C334" s="127"/>
      <c r="D334" s="175"/>
      <c r="E334" s="127"/>
      <c r="F334" s="127"/>
      <c r="G334" s="127"/>
      <c r="H334" s="127"/>
      <c r="I334" s="127"/>
      <c r="J334" s="324"/>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row>
    <row r="335" spans="2:41" x14ac:dyDescent="0.25">
      <c r="B335" s="127"/>
      <c r="C335" s="127"/>
      <c r="D335" s="175"/>
      <c r="E335" s="127"/>
      <c r="F335" s="127"/>
      <c r="G335" s="127"/>
      <c r="H335" s="127"/>
      <c r="I335" s="127"/>
      <c r="J335" s="324"/>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row>
    <row r="336" spans="2:41" x14ac:dyDescent="0.25">
      <c r="B336" s="127"/>
      <c r="C336" s="127"/>
      <c r="D336" s="175"/>
      <c r="E336" s="127"/>
      <c r="F336" s="127"/>
      <c r="G336" s="127"/>
      <c r="H336" s="127"/>
      <c r="I336" s="127"/>
      <c r="J336" s="324"/>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row>
    <row r="337" spans="2:41" x14ac:dyDescent="0.25">
      <c r="B337" s="127"/>
      <c r="C337" s="127"/>
      <c r="D337" s="175"/>
      <c r="E337" s="127"/>
      <c r="F337" s="127"/>
      <c r="G337" s="127"/>
      <c r="H337" s="127"/>
      <c r="I337" s="127"/>
      <c r="J337" s="324"/>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row>
    <row r="338" spans="2:41" x14ac:dyDescent="0.25">
      <c r="B338" s="127"/>
      <c r="C338" s="127"/>
      <c r="D338" s="175"/>
      <c r="E338" s="127"/>
      <c r="F338" s="127"/>
      <c r="G338" s="127"/>
      <c r="H338" s="127"/>
      <c r="I338" s="127"/>
      <c r="J338" s="324"/>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row>
    <row r="339" spans="2:41" x14ac:dyDescent="0.25">
      <c r="B339" s="127"/>
      <c r="C339" s="127"/>
      <c r="D339" s="175"/>
      <c r="E339" s="127"/>
      <c r="F339" s="127"/>
      <c r="G339" s="127"/>
      <c r="H339" s="127"/>
      <c r="I339" s="127"/>
      <c r="J339" s="324"/>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row>
    <row r="340" spans="2:41" x14ac:dyDescent="0.25">
      <c r="B340" s="127"/>
      <c r="C340" s="127"/>
      <c r="D340" s="175"/>
      <c r="E340" s="127"/>
      <c r="F340" s="127"/>
      <c r="G340" s="127"/>
      <c r="H340" s="127"/>
      <c r="I340" s="127"/>
      <c r="J340" s="324"/>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row>
    <row r="341" spans="2:41" x14ac:dyDescent="0.25">
      <c r="B341" s="127"/>
      <c r="C341" s="127"/>
      <c r="D341" s="175"/>
      <c r="E341" s="127"/>
      <c r="F341" s="127"/>
      <c r="G341" s="127"/>
      <c r="H341" s="127"/>
      <c r="I341" s="127"/>
      <c r="J341" s="324"/>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row>
    <row r="342" spans="2:41" x14ac:dyDescent="0.25">
      <c r="B342" s="127"/>
      <c r="C342" s="127"/>
      <c r="D342" s="175"/>
      <c r="E342" s="127"/>
      <c r="F342" s="127"/>
      <c r="G342" s="127"/>
      <c r="H342" s="127"/>
      <c r="I342" s="127"/>
      <c r="J342" s="324"/>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row>
    <row r="343" spans="2:41" x14ac:dyDescent="0.25">
      <c r="B343" s="127"/>
      <c r="C343" s="127"/>
      <c r="D343" s="175"/>
      <c r="E343" s="127"/>
      <c r="F343" s="127"/>
      <c r="G343" s="127"/>
      <c r="H343" s="127"/>
      <c r="I343" s="127"/>
      <c r="J343" s="324"/>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row>
    <row r="344" spans="2:41" x14ac:dyDescent="0.25">
      <c r="B344" s="127"/>
      <c r="C344" s="127"/>
      <c r="D344" s="175"/>
      <c r="E344" s="127"/>
      <c r="F344" s="127"/>
      <c r="G344" s="127"/>
      <c r="H344" s="127"/>
      <c r="I344" s="127"/>
      <c r="J344" s="324"/>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row>
    <row r="345" spans="2:41" x14ac:dyDescent="0.25">
      <c r="B345" s="127"/>
      <c r="C345" s="127"/>
      <c r="D345" s="175"/>
      <c r="E345" s="127"/>
      <c r="F345" s="127"/>
      <c r="G345" s="127"/>
      <c r="H345" s="127"/>
      <c r="I345" s="127"/>
      <c r="J345" s="324"/>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row>
    <row r="346" spans="2:41" x14ac:dyDescent="0.25">
      <c r="B346" s="127"/>
      <c r="C346" s="127"/>
      <c r="D346" s="175"/>
      <c r="E346" s="127"/>
      <c r="F346" s="127"/>
      <c r="G346" s="127"/>
      <c r="H346" s="127"/>
      <c r="I346" s="127"/>
      <c r="J346" s="324"/>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row>
    <row r="347" spans="2:41" x14ac:dyDescent="0.25">
      <c r="B347" s="127"/>
      <c r="C347" s="127"/>
      <c r="D347" s="175"/>
      <c r="E347" s="127"/>
      <c r="F347" s="127"/>
      <c r="G347" s="127"/>
      <c r="H347" s="127"/>
      <c r="I347" s="127"/>
      <c r="J347" s="324"/>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row>
    <row r="348" spans="2:41" x14ac:dyDescent="0.25">
      <c r="B348" s="127"/>
      <c r="C348" s="127"/>
      <c r="D348" s="175"/>
      <c r="E348" s="127"/>
      <c r="F348" s="127"/>
      <c r="G348" s="127"/>
      <c r="H348" s="127"/>
      <c r="I348" s="127"/>
      <c r="J348" s="324"/>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row>
    <row r="349" spans="2:41" x14ac:dyDescent="0.25">
      <c r="B349" s="127"/>
      <c r="C349" s="127"/>
      <c r="D349" s="175"/>
      <c r="E349" s="127"/>
      <c r="F349" s="127"/>
      <c r="G349" s="127"/>
      <c r="H349" s="127"/>
      <c r="I349" s="127"/>
      <c r="J349" s="324"/>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row>
    <row r="350" spans="2:41" x14ac:dyDescent="0.25">
      <c r="B350" s="127"/>
      <c r="C350" s="127"/>
      <c r="D350" s="175"/>
      <c r="E350" s="127"/>
      <c r="F350" s="127"/>
      <c r="G350" s="127"/>
      <c r="H350" s="127"/>
      <c r="I350" s="127"/>
      <c r="J350" s="324"/>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row>
    <row r="351" spans="2:41" x14ac:dyDescent="0.25">
      <c r="B351" s="127"/>
      <c r="C351" s="127"/>
      <c r="D351" s="175"/>
      <c r="E351" s="127"/>
      <c r="F351" s="127"/>
      <c r="G351" s="127"/>
      <c r="H351" s="127"/>
      <c r="I351" s="127"/>
      <c r="J351" s="324"/>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row>
    <row r="352" spans="2:41" x14ac:dyDescent="0.25">
      <c r="B352" s="127"/>
      <c r="C352" s="127"/>
      <c r="D352" s="175"/>
      <c r="E352" s="127"/>
      <c r="F352" s="127"/>
      <c r="G352" s="127"/>
      <c r="H352" s="127"/>
      <c r="I352" s="127"/>
      <c r="J352" s="324"/>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row>
    <row r="353" spans="2:41" x14ac:dyDescent="0.25">
      <c r="B353" s="127"/>
      <c r="C353" s="127"/>
      <c r="D353" s="175"/>
      <c r="E353" s="127"/>
      <c r="F353" s="127"/>
      <c r="G353" s="127"/>
      <c r="H353" s="127"/>
      <c r="I353" s="127"/>
      <c r="J353" s="324"/>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row>
    <row r="354" spans="2:41" x14ac:dyDescent="0.25">
      <c r="B354" s="127"/>
      <c r="C354" s="127"/>
      <c r="D354" s="175"/>
      <c r="E354" s="127"/>
      <c r="F354" s="127"/>
      <c r="G354" s="127"/>
      <c r="H354" s="127"/>
      <c r="I354" s="127"/>
      <c r="J354" s="324"/>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row>
    <row r="355" spans="2:41" x14ac:dyDescent="0.25">
      <c r="B355" s="127"/>
      <c r="C355" s="127"/>
      <c r="D355" s="175"/>
      <c r="E355" s="127"/>
      <c r="F355" s="127"/>
      <c r="G355" s="127"/>
      <c r="H355" s="127"/>
      <c r="I355" s="127"/>
      <c r="J355" s="324"/>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row>
    <row r="356" spans="2:41" x14ac:dyDescent="0.25">
      <c r="B356" s="127"/>
      <c r="C356" s="127"/>
      <c r="D356" s="175"/>
      <c r="E356" s="127"/>
      <c r="F356" s="127"/>
      <c r="G356" s="127"/>
      <c r="H356" s="127"/>
      <c r="I356" s="127"/>
      <c r="J356" s="324"/>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row>
    <row r="357" spans="2:41" x14ac:dyDescent="0.25">
      <c r="B357" s="127"/>
      <c r="C357" s="127"/>
      <c r="D357" s="175"/>
      <c r="E357" s="127"/>
      <c r="F357" s="127"/>
      <c r="G357" s="127"/>
      <c r="H357" s="127"/>
      <c r="I357" s="127"/>
      <c r="J357" s="324"/>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row>
    <row r="358" spans="2:41" x14ac:dyDescent="0.25">
      <c r="B358" s="127"/>
      <c r="C358" s="127"/>
      <c r="D358" s="175"/>
      <c r="E358" s="127"/>
      <c r="F358" s="127"/>
      <c r="G358" s="127"/>
      <c r="H358" s="127"/>
      <c r="I358" s="127"/>
      <c r="J358" s="324"/>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row>
    <row r="359" spans="2:41" x14ac:dyDescent="0.25">
      <c r="B359" s="127"/>
      <c r="C359" s="127"/>
      <c r="D359" s="175"/>
      <c r="E359" s="127"/>
      <c r="F359" s="127"/>
      <c r="G359" s="127"/>
      <c r="H359" s="127"/>
      <c r="I359" s="127"/>
      <c r="J359" s="324"/>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row>
    <row r="360" spans="2:41" x14ac:dyDescent="0.25">
      <c r="B360" s="127"/>
      <c r="C360" s="127"/>
      <c r="D360" s="175"/>
      <c r="E360" s="127"/>
      <c r="F360" s="127"/>
      <c r="G360" s="127"/>
      <c r="H360" s="127"/>
      <c r="I360" s="127"/>
      <c r="J360" s="324"/>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row>
    <row r="361" spans="2:41" x14ac:dyDescent="0.25">
      <c r="B361" s="127"/>
      <c r="C361" s="127"/>
      <c r="D361" s="175"/>
      <c r="E361" s="127"/>
      <c r="F361" s="127"/>
      <c r="G361" s="127"/>
      <c r="H361" s="127"/>
      <c r="I361" s="127"/>
      <c r="J361" s="324"/>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row>
    <row r="362" spans="2:41" x14ac:dyDescent="0.25">
      <c r="B362" s="127"/>
      <c r="C362" s="127"/>
      <c r="D362" s="175"/>
      <c r="E362" s="127"/>
      <c r="F362" s="127"/>
      <c r="G362" s="127"/>
      <c r="H362" s="127"/>
      <c r="I362" s="127"/>
      <c r="J362" s="324"/>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row>
    <row r="363" spans="2:41" x14ac:dyDescent="0.25">
      <c r="B363" s="127"/>
      <c r="C363" s="127"/>
      <c r="D363" s="175"/>
      <c r="E363" s="127"/>
      <c r="F363" s="127"/>
      <c r="G363" s="127"/>
      <c r="H363" s="127"/>
      <c r="I363" s="127"/>
      <c r="J363" s="324"/>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row>
    <row r="364" spans="2:41" x14ac:dyDescent="0.25">
      <c r="B364" s="127"/>
      <c r="C364" s="127"/>
      <c r="D364" s="175"/>
      <c r="E364" s="127"/>
      <c r="F364" s="127"/>
      <c r="G364" s="127"/>
      <c r="H364" s="127"/>
      <c r="I364" s="127"/>
      <c r="J364" s="324"/>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row>
    <row r="365" spans="2:41" x14ac:dyDescent="0.25">
      <c r="B365" s="127"/>
      <c r="C365" s="127"/>
      <c r="D365" s="175"/>
      <c r="E365" s="127"/>
      <c r="F365" s="127"/>
      <c r="G365" s="127"/>
      <c r="H365" s="127"/>
      <c r="I365" s="127"/>
      <c r="J365" s="324"/>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row>
    <row r="366" spans="2:41" x14ac:dyDescent="0.25">
      <c r="B366" s="127"/>
      <c r="C366" s="127"/>
      <c r="D366" s="175"/>
      <c r="E366" s="127"/>
      <c r="F366" s="127"/>
      <c r="G366" s="127"/>
      <c r="H366" s="127"/>
      <c r="I366" s="127"/>
      <c r="J366" s="324"/>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row>
    <row r="367" spans="2:41" x14ac:dyDescent="0.25">
      <c r="B367" s="127"/>
      <c r="C367" s="127"/>
      <c r="D367" s="175"/>
      <c r="E367" s="127"/>
      <c r="F367" s="127"/>
      <c r="G367" s="127"/>
      <c r="H367" s="127"/>
      <c r="I367" s="127"/>
      <c r="J367" s="324"/>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row>
    <row r="368" spans="2:41" x14ac:dyDescent="0.25">
      <c r="B368" s="127"/>
      <c r="C368" s="127"/>
      <c r="D368" s="175"/>
      <c r="E368" s="127"/>
      <c r="F368" s="127"/>
      <c r="G368" s="127"/>
      <c r="H368" s="127"/>
      <c r="I368" s="127"/>
      <c r="J368" s="324"/>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row>
    <row r="369" spans="2:41" x14ac:dyDescent="0.25">
      <c r="B369" s="127"/>
      <c r="C369" s="127"/>
      <c r="D369" s="175"/>
      <c r="E369" s="127"/>
      <c r="F369" s="127"/>
      <c r="G369" s="127"/>
      <c r="H369" s="127"/>
      <c r="I369" s="127"/>
      <c r="J369" s="324"/>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row>
    <row r="370" spans="2:41" x14ac:dyDescent="0.25">
      <c r="B370" s="127"/>
      <c r="C370" s="127"/>
      <c r="D370" s="175"/>
      <c r="E370" s="127"/>
      <c r="F370" s="127"/>
      <c r="G370" s="127"/>
      <c r="H370" s="127"/>
      <c r="I370" s="127"/>
      <c r="J370" s="324"/>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row>
    <row r="371" spans="2:41" x14ac:dyDescent="0.25">
      <c r="B371" s="127"/>
      <c r="C371" s="127"/>
      <c r="D371" s="175"/>
      <c r="E371" s="127"/>
      <c r="F371" s="127"/>
      <c r="G371" s="127"/>
      <c r="H371" s="127"/>
      <c r="I371" s="127"/>
      <c r="J371" s="324"/>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row>
    <row r="372" spans="2:41" x14ac:dyDescent="0.25">
      <c r="B372" s="127"/>
      <c r="C372" s="127"/>
      <c r="D372" s="175"/>
      <c r="E372" s="127"/>
      <c r="F372" s="127"/>
      <c r="G372" s="127"/>
      <c r="H372" s="127"/>
      <c r="I372" s="127"/>
      <c r="J372" s="324"/>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row>
    <row r="373" spans="2:41" x14ac:dyDescent="0.25">
      <c r="B373" s="127"/>
      <c r="C373" s="127"/>
      <c r="D373" s="175"/>
      <c r="E373" s="127"/>
      <c r="F373" s="127"/>
      <c r="G373" s="127"/>
      <c r="H373" s="127"/>
      <c r="I373" s="127"/>
      <c r="J373" s="324"/>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row>
    <row r="374" spans="2:41" x14ac:dyDescent="0.25">
      <c r="B374" s="127"/>
      <c r="C374" s="127"/>
      <c r="D374" s="175"/>
      <c r="E374" s="127"/>
      <c r="F374" s="127"/>
      <c r="G374" s="127"/>
      <c r="H374" s="127"/>
      <c r="I374" s="127"/>
      <c r="J374" s="324"/>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row>
    <row r="375" spans="2:41" x14ac:dyDescent="0.25">
      <c r="B375" s="127"/>
      <c r="C375" s="127"/>
      <c r="D375" s="175"/>
      <c r="E375" s="127"/>
      <c r="F375" s="127"/>
      <c r="G375" s="127"/>
      <c r="H375" s="127"/>
      <c r="I375" s="127"/>
      <c r="J375" s="324"/>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row>
    <row r="376" spans="2:41" x14ac:dyDescent="0.25">
      <c r="B376" s="127"/>
      <c r="C376" s="127"/>
      <c r="D376" s="175"/>
      <c r="E376" s="127"/>
      <c r="F376" s="127"/>
      <c r="G376" s="127"/>
      <c r="H376" s="127"/>
      <c r="I376" s="127"/>
      <c r="J376" s="324"/>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row>
    <row r="377" spans="2:41" x14ac:dyDescent="0.25">
      <c r="B377" s="127"/>
      <c r="C377" s="127"/>
      <c r="D377" s="175"/>
      <c r="E377" s="127"/>
      <c r="F377" s="127"/>
      <c r="G377" s="127"/>
      <c r="H377" s="127"/>
      <c r="I377" s="127"/>
      <c r="J377" s="324"/>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row>
    <row r="378" spans="2:41" x14ac:dyDescent="0.25">
      <c r="B378" s="127"/>
      <c r="C378" s="127"/>
      <c r="D378" s="175"/>
      <c r="E378" s="127"/>
      <c r="F378" s="127"/>
      <c r="G378" s="127"/>
      <c r="H378" s="127"/>
      <c r="I378" s="127"/>
      <c r="J378" s="324"/>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row>
    <row r="379" spans="2:41" x14ac:dyDescent="0.25">
      <c r="B379" s="127"/>
      <c r="C379" s="127"/>
      <c r="D379" s="175"/>
      <c r="E379" s="127"/>
      <c r="F379" s="127"/>
      <c r="G379" s="127"/>
      <c r="H379" s="127"/>
      <c r="I379" s="127"/>
      <c r="J379" s="324"/>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row>
    <row r="380" spans="2:41" x14ac:dyDescent="0.25">
      <c r="B380" s="127"/>
      <c r="C380" s="127"/>
      <c r="D380" s="175"/>
      <c r="E380" s="127"/>
      <c r="F380" s="127"/>
      <c r="G380" s="127"/>
      <c r="H380" s="127"/>
      <c r="I380" s="127"/>
      <c r="J380" s="324"/>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row>
    <row r="381" spans="2:41" x14ac:dyDescent="0.25">
      <c r="B381" s="127"/>
      <c r="C381" s="127"/>
      <c r="D381" s="175"/>
      <c r="E381" s="127"/>
      <c r="F381" s="127"/>
      <c r="G381" s="127"/>
      <c r="H381" s="127"/>
      <c r="I381" s="127"/>
      <c r="J381" s="324"/>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row>
    <row r="382" spans="2:41" x14ac:dyDescent="0.25">
      <c r="B382" s="127"/>
      <c r="C382" s="127"/>
      <c r="D382" s="175"/>
      <c r="E382" s="127"/>
      <c r="F382" s="127"/>
      <c r="G382" s="127"/>
      <c r="H382" s="127"/>
      <c r="I382" s="127"/>
      <c r="J382" s="324"/>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row>
    <row r="383" spans="2:41" x14ac:dyDescent="0.25">
      <c r="B383" s="127"/>
      <c r="C383" s="127"/>
      <c r="D383" s="175"/>
      <c r="E383" s="127"/>
      <c r="F383" s="127"/>
      <c r="G383" s="127"/>
      <c r="H383" s="127"/>
      <c r="I383" s="127"/>
      <c r="J383" s="324"/>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row>
    <row r="384" spans="2:41" x14ac:dyDescent="0.25">
      <c r="B384" s="127"/>
      <c r="C384" s="127"/>
      <c r="D384" s="175"/>
      <c r="E384" s="127"/>
      <c r="F384" s="127"/>
      <c r="G384" s="127"/>
      <c r="H384" s="127"/>
      <c r="I384" s="127"/>
      <c r="J384" s="324"/>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row>
    <row r="385" spans="2:41" x14ac:dyDescent="0.25">
      <c r="B385" s="127"/>
      <c r="C385" s="127"/>
      <c r="D385" s="175"/>
      <c r="E385" s="127"/>
      <c r="F385" s="127"/>
      <c r="G385" s="127"/>
      <c r="H385" s="127"/>
      <c r="I385" s="127"/>
      <c r="J385" s="324"/>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row>
    <row r="386" spans="2:41" x14ac:dyDescent="0.25">
      <c r="B386" s="127"/>
      <c r="C386" s="127"/>
      <c r="D386" s="175"/>
      <c r="E386" s="127"/>
      <c r="F386" s="127"/>
      <c r="G386" s="127"/>
      <c r="H386" s="127"/>
      <c r="I386" s="127"/>
      <c r="J386" s="324"/>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row>
    <row r="387" spans="2:41" x14ac:dyDescent="0.25">
      <c r="B387" s="127"/>
      <c r="C387" s="127"/>
      <c r="D387" s="175"/>
      <c r="E387" s="127"/>
      <c r="F387" s="127"/>
      <c r="G387" s="127"/>
      <c r="H387" s="127"/>
      <c r="I387" s="127"/>
      <c r="J387" s="324"/>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row>
    <row r="388" spans="2:41" x14ac:dyDescent="0.25">
      <c r="B388" s="127"/>
      <c r="C388" s="127"/>
      <c r="D388" s="175"/>
      <c r="E388" s="127"/>
      <c r="F388" s="127"/>
      <c r="G388" s="127"/>
      <c r="H388" s="127"/>
      <c r="I388" s="127"/>
      <c r="J388" s="324"/>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row>
    <row r="389" spans="2:41" x14ac:dyDescent="0.25">
      <c r="B389" s="127"/>
      <c r="C389" s="127"/>
      <c r="D389" s="175"/>
      <c r="E389" s="127"/>
      <c r="F389" s="127"/>
      <c r="G389" s="127"/>
      <c r="H389" s="127"/>
      <c r="I389" s="127"/>
      <c r="J389" s="324"/>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row>
    <row r="390" spans="2:41" x14ac:dyDescent="0.25">
      <c r="B390" s="127"/>
      <c r="C390" s="127"/>
      <c r="D390" s="175"/>
      <c r="E390" s="127"/>
      <c r="F390" s="127"/>
      <c r="G390" s="127"/>
      <c r="H390" s="127"/>
      <c r="I390" s="127"/>
      <c r="J390" s="324"/>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row>
    <row r="391" spans="2:41" x14ac:dyDescent="0.25">
      <c r="B391" s="127"/>
      <c r="C391" s="127"/>
      <c r="D391" s="175"/>
      <c r="E391" s="127"/>
      <c r="F391" s="127"/>
      <c r="G391" s="127"/>
      <c r="H391" s="127"/>
      <c r="I391" s="127"/>
      <c r="J391" s="324"/>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row>
    <row r="392" spans="2:41" x14ac:dyDescent="0.25">
      <c r="B392" s="127"/>
      <c r="C392" s="127"/>
      <c r="D392" s="175"/>
      <c r="E392" s="127"/>
      <c r="F392" s="127"/>
      <c r="G392" s="127"/>
      <c r="H392" s="127"/>
      <c r="I392" s="127"/>
      <c r="J392" s="324"/>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row>
    <row r="393" spans="2:41" x14ac:dyDescent="0.25">
      <c r="B393" s="127"/>
      <c r="C393" s="127"/>
      <c r="D393" s="175"/>
      <c r="E393" s="127"/>
      <c r="F393" s="127"/>
      <c r="G393" s="127"/>
      <c r="H393" s="127"/>
      <c r="I393" s="127"/>
      <c r="J393" s="324"/>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row>
    <row r="394" spans="2:41" x14ac:dyDescent="0.25">
      <c r="B394" s="127"/>
      <c r="C394" s="127"/>
      <c r="D394" s="175"/>
      <c r="E394" s="127"/>
      <c r="F394" s="127"/>
      <c r="G394" s="127"/>
      <c r="H394" s="127"/>
      <c r="I394" s="127"/>
      <c r="J394" s="324"/>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row>
    <row r="395" spans="2:41" x14ac:dyDescent="0.25">
      <c r="B395" s="127"/>
      <c r="C395" s="127"/>
      <c r="D395" s="175"/>
      <c r="E395" s="127"/>
      <c r="F395" s="127"/>
      <c r="G395" s="127"/>
      <c r="H395" s="127"/>
      <c r="I395" s="127"/>
      <c r="J395" s="324"/>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row>
    <row r="396" spans="2:41" x14ac:dyDescent="0.25">
      <c r="B396" s="127"/>
      <c r="C396" s="127"/>
      <c r="D396" s="175"/>
      <c r="E396" s="127"/>
      <c r="F396" s="127"/>
      <c r="G396" s="127"/>
      <c r="H396" s="127"/>
      <c r="I396" s="127"/>
      <c r="J396" s="324"/>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row>
    <row r="397" spans="2:41" x14ac:dyDescent="0.25">
      <c r="B397" s="127"/>
      <c r="C397" s="127"/>
      <c r="D397" s="175"/>
      <c r="E397" s="127"/>
      <c r="F397" s="127"/>
      <c r="G397" s="127"/>
      <c r="H397" s="127"/>
      <c r="I397" s="127"/>
      <c r="J397" s="324"/>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row>
    <row r="398" spans="2:41" x14ac:dyDescent="0.25">
      <c r="B398" s="127"/>
      <c r="C398" s="127"/>
      <c r="D398" s="175"/>
      <c r="E398" s="127"/>
      <c r="F398" s="127"/>
      <c r="G398" s="127"/>
      <c r="H398" s="127"/>
      <c r="I398" s="127"/>
      <c r="J398" s="324"/>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row>
    <row r="399" spans="2:41" x14ac:dyDescent="0.25">
      <c r="B399" s="127"/>
      <c r="C399" s="127"/>
      <c r="D399" s="175"/>
      <c r="E399" s="127"/>
      <c r="F399" s="127"/>
      <c r="G399" s="127"/>
      <c r="H399" s="127"/>
      <c r="I399" s="127"/>
      <c r="J399" s="324"/>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row>
    <row r="400" spans="2:41" x14ac:dyDescent="0.25">
      <c r="B400" s="127"/>
      <c r="C400" s="127"/>
      <c r="D400" s="175"/>
      <c r="E400" s="127"/>
      <c r="F400" s="127"/>
      <c r="G400" s="127"/>
      <c r="H400" s="127"/>
      <c r="I400" s="127"/>
      <c r="J400" s="324"/>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row>
    <row r="401" spans="2:41" x14ac:dyDescent="0.25">
      <c r="B401" s="127"/>
      <c r="C401" s="127"/>
      <c r="D401" s="175"/>
      <c r="E401" s="127"/>
      <c r="F401" s="127"/>
      <c r="G401" s="127"/>
      <c r="H401" s="127"/>
      <c r="I401" s="127"/>
      <c r="J401" s="324"/>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row>
    <row r="402" spans="2:41" x14ac:dyDescent="0.25">
      <c r="B402" s="127"/>
      <c r="C402" s="127"/>
      <c r="D402" s="175"/>
      <c r="E402" s="127"/>
      <c r="F402" s="127"/>
      <c r="G402" s="127"/>
      <c r="H402" s="127"/>
      <c r="I402" s="127"/>
      <c r="J402" s="324"/>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row>
    <row r="403" spans="2:41" x14ac:dyDescent="0.25">
      <c r="B403" s="127"/>
      <c r="C403" s="127"/>
      <c r="D403" s="175"/>
      <c r="E403" s="127"/>
      <c r="F403" s="127"/>
      <c r="G403" s="127"/>
      <c r="H403" s="127"/>
      <c r="I403" s="127"/>
      <c r="J403" s="324"/>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row>
    <row r="404" spans="2:41" x14ac:dyDescent="0.25">
      <c r="B404" s="127"/>
      <c r="C404" s="127"/>
      <c r="D404" s="175"/>
      <c r="E404" s="127"/>
      <c r="F404" s="127"/>
      <c r="G404" s="127"/>
      <c r="H404" s="127"/>
      <c r="I404" s="127"/>
      <c r="J404" s="324"/>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row>
    <row r="405" spans="2:41" x14ac:dyDescent="0.25">
      <c r="B405" s="127"/>
      <c r="C405" s="127"/>
      <c r="D405" s="175"/>
      <c r="E405" s="127"/>
      <c r="F405" s="127"/>
      <c r="G405" s="127"/>
      <c r="H405" s="127"/>
      <c r="I405" s="127"/>
      <c r="J405" s="324"/>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row>
    <row r="406" spans="2:41" x14ac:dyDescent="0.25">
      <c r="B406" s="127"/>
      <c r="C406" s="127"/>
      <c r="D406" s="175"/>
      <c r="E406" s="127"/>
      <c r="F406" s="127"/>
      <c r="G406" s="127"/>
      <c r="H406" s="127"/>
      <c r="I406" s="127"/>
      <c r="J406" s="324"/>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row>
    <row r="407" spans="2:41" x14ac:dyDescent="0.25">
      <c r="B407" s="127"/>
      <c r="C407" s="127"/>
      <c r="D407" s="175"/>
      <c r="E407" s="127"/>
      <c r="F407" s="127"/>
      <c r="G407" s="127"/>
      <c r="H407" s="127"/>
      <c r="I407" s="127"/>
      <c r="J407" s="324"/>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row>
    <row r="408" spans="2:41" x14ac:dyDescent="0.25">
      <c r="B408" s="127"/>
      <c r="C408" s="127"/>
      <c r="D408" s="175"/>
      <c r="E408" s="127"/>
      <c r="F408" s="127"/>
      <c r="G408" s="127"/>
      <c r="H408" s="127"/>
      <c r="I408" s="127"/>
      <c r="J408" s="324"/>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row>
    <row r="409" spans="2:41" x14ac:dyDescent="0.25">
      <c r="B409" s="127"/>
      <c r="C409" s="127"/>
      <c r="D409" s="175"/>
      <c r="E409" s="127"/>
      <c r="F409" s="127"/>
      <c r="G409" s="127"/>
      <c r="H409" s="127"/>
      <c r="I409" s="127"/>
      <c r="J409" s="324"/>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row>
    <row r="410" spans="2:41" x14ac:dyDescent="0.25">
      <c r="B410" s="127"/>
      <c r="C410" s="127"/>
      <c r="D410" s="175"/>
      <c r="E410" s="127"/>
      <c r="F410" s="127"/>
      <c r="G410" s="127"/>
      <c r="H410" s="127"/>
      <c r="I410" s="127"/>
      <c r="J410" s="324"/>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row>
    <row r="411" spans="2:41" x14ac:dyDescent="0.25">
      <c r="B411" s="127"/>
      <c r="C411" s="127"/>
      <c r="D411" s="175"/>
      <c r="E411" s="127"/>
      <c r="F411" s="127"/>
      <c r="G411" s="127"/>
      <c r="H411" s="127"/>
      <c r="I411" s="127"/>
      <c r="J411" s="324"/>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row>
    <row r="412" spans="2:41" x14ac:dyDescent="0.25">
      <c r="B412" s="127"/>
      <c r="C412" s="127"/>
      <c r="D412" s="175"/>
      <c r="E412" s="127"/>
      <c r="F412" s="127"/>
      <c r="G412" s="127"/>
      <c r="H412" s="127"/>
      <c r="I412" s="127"/>
      <c r="J412" s="324"/>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row>
    <row r="413" spans="2:41" x14ac:dyDescent="0.25">
      <c r="B413" s="127"/>
      <c r="C413" s="127"/>
      <c r="D413" s="175"/>
      <c r="E413" s="127"/>
      <c r="F413" s="127"/>
      <c r="G413" s="127"/>
      <c r="H413" s="127"/>
      <c r="I413" s="127"/>
      <c r="J413" s="324"/>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row>
    <row r="414" spans="2:41" x14ac:dyDescent="0.25">
      <c r="B414" s="127"/>
      <c r="C414" s="127"/>
      <c r="D414" s="175"/>
      <c r="E414" s="127"/>
      <c r="F414" s="127"/>
      <c r="G414" s="127"/>
      <c r="H414" s="127"/>
      <c r="I414" s="127"/>
      <c r="J414" s="324"/>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row>
    <row r="415" spans="2:41" x14ac:dyDescent="0.25">
      <c r="B415" s="127"/>
      <c r="C415" s="127"/>
      <c r="D415" s="175"/>
      <c r="E415" s="127"/>
      <c r="F415" s="127"/>
      <c r="G415" s="127"/>
      <c r="H415" s="127"/>
      <c r="I415" s="127"/>
      <c r="J415" s="324"/>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row>
    <row r="416" spans="2:41" x14ac:dyDescent="0.25">
      <c r="B416" s="127"/>
      <c r="C416" s="127"/>
      <c r="D416" s="175"/>
      <c r="E416" s="127"/>
      <c r="F416" s="127"/>
      <c r="G416" s="127"/>
      <c r="H416" s="127"/>
      <c r="I416" s="127"/>
      <c r="J416" s="324"/>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row>
    <row r="417" spans="2:41" x14ac:dyDescent="0.25">
      <c r="B417" s="127"/>
      <c r="C417" s="127"/>
      <c r="D417" s="175"/>
      <c r="E417" s="127"/>
      <c r="F417" s="127"/>
      <c r="G417" s="127"/>
      <c r="H417" s="127"/>
      <c r="I417" s="127"/>
      <c r="J417" s="324"/>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row>
    <row r="418" spans="2:41" x14ac:dyDescent="0.25">
      <c r="B418" s="127"/>
      <c r="C418" s="127"/>
      <c r="D418" s="175"/>
      <c r="E418" s="127"/>
      <c r="F418" s="127"/>
      <c r="G418" s="127"/>
      <c r="H418" s="127"/>
      <c r="I418" s="127"/>
      <c r="J418" s="324"/>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row>
    <row r="419" spans="2:41" x14ac:dyDescent="0.25">
      <c r="B419" s="127"/>
      <c r="C419" s="127"/>
      <c r="D419" s="175"/>
      <c r="E419" s="127"/>
      <c r="F419" s="127"/>
      <c r="G419" s="127"/>
      <c r="H419" s="127"/>
      <c r="I419" s="127"/>
      <c r="J419" s="324"/>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row>
    <row r="420" spans="2:41" x14ac:dyDescent="0.25">
      <c r="B420" s="127"/>
      <c r="C420" s="127"/>
      <c r="D420" s="175"/>
      <c r="E420" s="127"/>
      <c r="F420" s="127"/>
      <c r="G420" s="127"/>
      <c r="H420" s="127"/>
      <c r="I420" s="127"/>
      <c r="J420" s="324"/>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row>
    <row r="421" spans="2:41" x14ac:dyDescent="0.25">
      <c r="B421" s="127"/>
      <c r="C421" s="127"/>
      <c r="D421" s="175"/>
      <c r="E421" s="127"/>
      <c r="F421" s="127"/>
      <c r="G421" s="127"/>
      <c r="H421" s="127"/>
      <c r="I421" s="127"/>
      <c r="J421" s="324"/>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row>
    <row r="422" spans="2:41" x14ac:dyDescent="0.25">
      <c r="B422" s="127"/>
      <c r="C422" s="127"/>
      <c r="D422" s="175"/>
      <c r="E422" s="127"/>
      <c r="F422" s="127"/>
      <c r="G422" s="127"/>
      <c r="H422" s="127"/>
      <c r="I422" s="127"/>
      <c r="J422" s="324"/>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row>
    <row r="423" spans="2:41" x14ac:dyDescent="0.25">
      <c r="B423" s="127"/>
      <c r="C423" s="127"/>
      <c r="D423" s="175"/>
      <c r="E423" s="127"/>
      <c r="F423" s="127"/>
      <c r="G423" s="127"/>
      <c r="H423" s="127"/>
      <c r="I423" s="127"/>
      <c r="J423" s="324"/>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row>
    <row r="424" spans="2:41" x14ac:dyDescent="0.25">
      <c r="B424" s="127"/>
      <c r="C424" s="127"/>
      <c r="D424" s="175"/>
      <c r="E424" s="127"/>
      <c r="F424" s="127"/>
      <c r="G424" s="127"/>
      <c r="H424" s="127"/>
      <c r="I424" s="127"/>
      <c r="J424" s="324"/>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row>
    <row r="425" spans="2:41" x14ac:dyDescent="0.25">
      <c r="B425" s="127"/>
      <c r="C425" s="127"/>
      <c r="D425" s="175"/>
      <c r="E425" s="127"/>
      <c r="F425" s="127"/>
      <c r="G425" s="127"/>
      <c r="H425" s="127"/>
      <c r="I425" s="127"/>
      <c r="J425" s="324"/>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row>
    <row r="426" spans="2:41" x14ac:dyDescent="0.25">
      <c r="B426" s="127"/>
      <c r="C426" s="127"/>
      <c r="D426" s="175"/>
      <c r="E426" s="127"/>
      <c r="F426" s="127"/>
      <c r="G426" s="127"/>
      <c r="H426" s="127"/>
      <c r="I426" s="127"/>
      <c r="J426" s="324"/>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row>
    <row r="427" spans="2:41" x14ac:dyDescent="0.25">
      <c r="B427" s="127"/>
      <c r="C427" s="127"/>
      <c r="D427" s="175"/>
      <c r="E427" s="127"/>
      <c r="F427" s="127"/>
      <c r="G427" s="127"/>
      <c r="H427" s="127"/>
      <c r="I427" s="127"/>
      <c r="J427" s="324"/>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row>
    <row r="428" spans="2:41" x14ac:dyDescent="0.25">
      <c r="B428" s="127"/>
      <c r="C428" s="127"/>
      <c r="D428" s="175"/>
      <c r="E428" s="127"/>
      <c r="F428" s="127"/>
      <c r="G428" s="127"/>
      <c r="H428" s="127"/>
      <c r="I428" s="127"/>
      <c r="J428" s="324"/>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row>
    <row r="429" spans="2:41" x14ac:dyDescent="0.25">
      <c r="B429" s="127"/>
      <c r="C429" s="127"/>
      <c r="D429" s="175"/>
      <c r="E429" s="127"/>
      <c r="F429" s="127"/>
      <c r="G429" s="127"/>
      <c r="H429" s="127"/>
      <c r="I429" s="127"/>
      <c r="J429" s="324"/>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row>
    <row r="430" spans="2:41" x14ac:dyDescent="0.25">
      <c r="B430" s="127"/>
      <c r="C430" s="127"/>
      <c r="D430" s="175"/>
      <c r="E430" s="127"/>
      <c r="F430" s="127"/>
      <c r="G430" s="127"/>
      <c r="H430" s="127"/>
      <c r="I430" s="127"/>
      <c r="J430" s="324"/>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row>
    <row r="431" spans="2:41" x14ac:dyDescent="0.25">
      <c r="B431" s="127"/>
      <c r="C431" s="127"/>
      <c r="D431" s="175"/>
      <c r="E431" s="127"/>
      <c r="F431" s="127"/>
      <c r="G431" s="127"/>
      <c r="H431" s="127"/>
      <c r="I431" s="127"/>
      <c r="J431" s="324"/>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row>
    <row r="432" spans="2:41" x14ac:dyDescent="0.25">
      <c r="B432" s="127"/>
      <c r="C432" s="127"/>
      <c r="D432" s="175"/>
      <c r="E432" s="127"/>
      <c r="F432" s="127"/>
      <c r="G432" s="127"/>
      <c r="H432" s="127"/>
      <c r="I432" s="127"/>
      <c r="J432" s="324"/>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row>
    <row r="433" spans="2:41" x14ac:dyDescent="0.25">
      <c r="B433" s="127"/>
      <c r="C433" s="127"/>
      <c r="D433" s="175"/>
      <c r="E433" s="127"/>
      <c r="F433" s="127"/>
      <c r="G433" s="127"/>
      <c r="H433" s="127"/>
      <c r="I433" s="127"/>
      <c r="J433" s="324"/>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row>
    <row r="434" spans="2:41" x14ac:dyDescent="0.25">
      <c r="B434" s="127"/>
      <c r="C434" s="127"/>
      <c r="D434" s="175"/>
      <c r="E434" s="127"/>
      <c r="F434" s="127"/>
      <c r="G434" s="127"/>
      <c r="H434" s="127"/>
      <c r="I434" s="127"/>
      <c r="J434" s="324"/>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row>
    <row r="435" spans="2:41" x14ac:dyDescent="0.25">
      <c r="B435" s="127"/>
      <c r="C435" s="127"/>
      <c r="D435" s="175"/>
      <c r="E435" s="127"/>
      <c r="F435" s="127"/>
      <c r="G435" s="127"/>
      <c r="H435" s="127"/>
      <c r="I435" s="127"/>
      <c r="J435" s="324"/>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row>
    <row r="436" spans="2:41" x14ac:dyDescent="0.25">
      <c r="B436" s="127"/>
      <c r="C436" s="127"/>
      <c r="D436" s="175"/>
      <c r="E436" s="127"/>
      <c r="F436" s="127"/>
      <c r="G436" s="127"/>
      <c r="H436" s="127"/>
      <c r="I436" s="127"/>
      <c r="J436" s="324"/>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row>
    <row r="437" spans="2:41" x14ac:dyDescent="0.25">
      <c r="B437" s="127"/>
      <c r="C437" s="127"/>
      <c r="D437" s="175"/>
      <c r="E437" s="127"/>
      <c r="F437" s="127"/>
      <c r="G437" s="127"/>
      <c r="H437" s="127"/>
      <c r="I437" s="127"/>
      <c r="J437" s="324"/>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row>
    <row r="438" spans="2:41" x14ac:dyDescent="0.25">
      <c r="B438" s="127"/>
      <c r="C438" s="127"/>
      <c r="D438" s="175"/>
      <c r="E438" s="127"/>
      <c r="F438" s="127"/>
      <c r="G438" s="127"/>
      <c r="H438" s="127"/>
      <c r="I438" s="127"/>
      <c r="J438" s="324"/>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row>
    <row r="439" spans="2:41" x14ac:dyDescent="0.25">
      <c r="B439" s="127"/>
      <c r="C439" s="127"/>
      <c r="D439" s="175"/>
      <c r="E439" s="127"/>
      <c r="F439" s="127"/>
      <c r="G439" s="127"/>
      <c r="H439" s="127"/>
      <c r="I439" s="127"/>
      <c r="J439" s="324"/>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row>
    <row r="440" spans="2:41" x14ac:dyDescent="0.25">
      <c r="B440" s="127"/>
      <c r="C440" s="127"/>
      <c r="D440" s="175"/>
      <c r="E440" s="127"/>
      <c r="F440" s="127"/>
      <c r="G440" s="127"/>
      <c r="H440" s="127"/>
      <c r="I440" s="127"/>
      <c r="J440" s="324"/>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row>
    <row r="441" spans="2:41" x14ac:dyDescent="0.25">
      <c r="B441" s="127"/>
      <c r="C441" s="127"/>
      <c r="D441" s="175"/>
      <c r="E441" s="127"/>
      <c r="F441" s="127"/>
      <c r="G441" s="127"/>
      <c r="H441" s="127"/>
      <c r="I441" s="127"/>
      <c r="J441" s="324"/>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row>
    <row r="442" spans="2:41" x14ac:dyDescent="0.25">
      <c r="B442" s="127"/>
      <c r="C442" s="127"/>
      <c r="D442" s="175"/>
      <c r="E442" s="127"/>
      <c r="F442" s="127"/>
      <c r="G442" s="127"/>
      <c r="H442" s="127"/>
      <c r="I442" s="127"/>
      <c r="J442" s="324"/>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row>
    <row r="443" spans="2:41" x14ac:dyDescent="0.25">
      <c r="B443" s="127"/>
      <c r="C443" s="127"/>
      <c r="D443" s="175"/>
      <c r="E443" s="127"/>
      <c r="F443" s="127"/>
      <c r="G443" s="127"/>
      <c r="H443" s="127"/>
      <c r="I443" s="127"/>
      <c r="J443" s="324"/>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row>
    <row r="444" spans="2:41" x14ac:dyDescent="0.25">
      <c r="B444" s="127"/>
      <c r="C444" s="127"/>
      <c r="D444" s="175"/>
      <c r="E444" s="127"/>
      <c r="F444" s="127"/>
      <c r="G444" s="127"/>
      <c r="H444" s="127"/>
      <c r="I444" s="127"/>
      <c r="J444" s="324"/>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row>
    <row r="445" spans="2:41" x14ac:dyDescent="0.25">
      <c r="B445" s="127"/>
      <c r="C445" s="127"/>
      <c r="D445" s="175"/>
      <c r="E445" s="127"/>
      <c r="F445" s="127"/>
      <c r="G445" s="127"/>
      <c r="H445" s="127"/>
      <c r="I445" s="127"/>
      <c r="J445" s="324"/>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row>
    <row r="446" spans="2:41" x14ac:dyDescent="0.25">
      <c r="B446" s="127"/>
      <c r="C446" s="127"/>
      <c r="D446" s="175"/>
      <c r="E446" s="127"/>
      <c r="F446" s="127"/>
      <c r="G446" s="127"/>
      <c r="H446" s="127"/>
      <c r="I446" s="127"/>
      <c r="J446" s="324"/>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row>
    <row r="447" spans="2:41" x14ac:dyDescent="0.25">
      <c r="B447" s="127"/>
      <c r="C447" s="127"/>
      <c r="D447" s="175"/>
      <c r="E447" s="127"/>
      <c r="F447" s="127"/>
      <c r="G447" s="127"/>
      <c r="H447" s="127"/>
      <c r="I447" s="127"/>
      <c r="J447" s="324"/>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row>
    <row r="448" spans="2:41" x14ac:dyDescent="0.25">
      <c r="B448" s="127"/>
      <c r="C448" s="127"/>
      <c r="D448" s="175"/>
      <c r="E448" s="127"/>
      <c r="F448" s="127"/>
      <c r="G448" s="127"/>
      <c r="H448" s="127"/>
      <c r="I448" s="127"/>
      <c r="J448" s="324"/>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row>
    <row r="449" spans="2:41" x14ac:dyDescent="0.25">
      <c r="B449" s="127"/>
      <c r="C449" s="127"/>
      <c r="D449" s="175"/>
      <c r="E449" s="127"/>
      <c r="F449" s="127"/>
      <c r="G449" s="127"/>
      <c r="H449" s="127"/>
      <c r="I449" s="127"/>
      <c r="J449" s="324"/>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row>
    <row r="450" spans="2:41" x14ac:dyDescent="0.25">
      <c r="B450" s="127"/>
      <c r="C450" s="127"/>
      <c r="D450" s="175"/>
      <c r="E450" s="127"/>
      <c r="F450" s="127"/>
      <c r="G450" s="127"/>
      <c r="H450" s="127"/>
      <c r="I450" s="127"/>
      <c r="J450" s="324"/>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row>
    <row r="451" spans="2:41" x14ac:dyDescent="0.25">
      <c r="B451" s="127"/>
      <c r="C451" s="127"/>
      <c r="D451" s="175"/>
      <c r="E451" s="127"/>
      <c r="F451" s="127"/>
      <c r="G451" s="127"/>
      <c r="H451" s="127"/>
      <c r="I451" s="127"/>
      <c r="J451" s="324"/>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row>
    <row r="452" spans="2:41" x14ac:dyDescent="0.25">
      <c r="B452" s="127"/>
      <c r="C452" s="127"/>
      <c r="D452" s="175"/>
      <c r="E452" s="127"/>
      <c r="F452" s="127"/>
      <c r="G452" s="127"/>
      <c r="H452" s="127"/>
      <c r="I452" s="127"/>
      <c r="J452" s="324"/>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row>
    <row r="453" spans="2:41" x14ac:dyDescent="0.25">
      <c r="B453" s="127"/>
      <c r="C453" s="127"/>
      <c r="D453" s="175"/>
      <c r="E453" s="127"/>
      <c r="F453" s="127"/>
      <c r="G453" s="127"/>
      <c r="H453" s="127"/>
      <c r="I453" s="127"/>
      <c r="J453" s="324"/>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row>
    <row r="454" spans="2:41" x14ac:dyDescent="0.25">
      <c r="B454" s="127"/>
      <c r="C454" s="127"/>
      <c r="D454" s="175"/>
      <c r="E454" s="127"/>
      <c r="F454" s="127"/>
      <c r="G454" s="127"/>
      <c r="H454" s="127"/>
      <c r="I454" s="127"/>
      <c r="J454" s="324"/>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row>
    <row r="455" spans="2:41" x14ac:dyDescent="0.25">
      <c r="B455" s="127"/>
      <c r="C455" s="127"/>
      <c r="D455" s="175"/>
      <c r="E455" s="127"/>
      <c r="F455" s="127"/>
      <c r="G455" s="127"/>
      <c r="H455" s="127"/>
      <c r="I455" s="127"/>
      <c r="J455" s="324"/>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row>
    <row r="456" spans="2:41" x14ac:dyDescent="0.25">
      <c r="B456" s="127"/>
      <c r="C456" s="127"/>
      <c r="D456" s="175"/>
      <c r="E456" s="127"/>
      <c r="F456" s="127"/>
      <c r="G456" s="127"/>
      <c r="H456" s="127"/>
      <c r="I456" s="127"/>
      <c r="J456" s="324"/>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row>
    <row r="457" spans="2:41" x14ac:dyDescent="0.25">
      <c r="B457" s="127"/>
      <c r="C457" s="127"/>
      <c r="D457" s="175"/>
      <c r="E457" s="127"/>
      <c r="F457" s="127"/>
      <c r="G457" s="127"/>
      <c r="H457" s="127"/>
      <c r="I457" s="127"/>
      <c r="J457" s="324"/>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row>
    <row r="458" spans="2:41" x14ac:dyDescent="0.25">
      <c r="B458" s="127"/>
      <c r="C458" s="127"/>
      <c r="D458" s="175"/>
      <c r="E458" s="127"/>
      <c r="F458" s="127"/>
      <c r="G458" s="127"/>
      <c r="H458" s="127"/>
      <c r="I458" s="127"/>
      <c r="J458" s="324"/>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row>
    <row r="459" spans="2:41" x14ac:dyDescent="0.25">
      <c r="B459" s="127"/>
      <c r="C459" s="127"/>
      <c r="D459" s="175"/>
      <c r="E459" s="127"/>
      <c r="F459" s="127"/>
      <c r="G459" s="127"/>
      <c r="H459" s="127"/>
      <c r="I459" s="127"/>
      <c r="J459" s="324"/>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row>
    <row r="460" spans="2:41" x14ac:dyDescent="0.25">
      <c r="B460" s="127"/>
      <c r="C460" s="127"/>
      <c r="D460" s="175"/>
      <c r="E460" s="127"/>
      <c r="F460" s="127"/>
      <c r="G460" s="127"/>
      <c r="H460" s="127"/>
      <c r="I460" s="127"/>
      <c r="J460" s="324"/>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row>
    <row r="461" spans="2:41" x14ac:dyDescent="0.25">
      <c r="B461" s="127"/>
      <c r="C461" s="127"/>
      <c r="D461" s="175"/>
      <c r="E461" s="127"/>
      <c r="F461" s="127"/>
      <c r="G461" s="127"/>
      <c r="H461" s="127"/>
      <c r="I461" s="127"/>
      <c r="J461" s="324"/>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row>
    <row r="462" spans="2:41" x14ac:dyDescent="0.25">
      <c r="B462" s="127"/>
      <c r="C462" s="127"/>
      <c r="D462" s="175"/>
      <c r="E462" s="127"/>
      <c r="F462" s="127"/>
      <c r="G462" s="127"/>
      <c r="H462" s="127"/>
      <c r="I462" s="127"/>
      <c r="J462" s="324"/>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row>
    <row r="463" spans="2:41" x14ac:dyDescent="0.25">
      <c r="B463" s="127"/>
      <c r="C463" s="127"/>
      <c r="D463" s="175"/>
      <c r="E463" s="127"/>
      <c r="F463" s="127"/>
      <c r="G463" s="127"/>
      <c r="H463" s="127"/>
      <c r="I463" s="127"/>
      <c r="J463" s="324"/>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row>
    <row r="464" spans="2:41" x14ac:dyDescent="0.25">
      <c r="B464" s="127"/>
      <c r="C464" s="127"/>
      <c r="D464" s="175"/>
      <c r="E464" s="127"/>
      <c r="F464" s="127"/>
      <c r="G464" s="127"/>
      <c r="H464" s="127"/>
      <c r="I464" s="127"/>
      <c r="J464" s="324"/>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row>
    <row r="465" spans="2:41" x14ac:dyDescent="0.25">
      <c r="B465" s="127"/>
      <c r="C465" s="127"/>
      <c r="D465" s="175"/>
      <c r="E465" s="127"/>
      <c r="F465" s="127"/>
      <c r="G465" s="127"/>
      <c r="H465" s="127"/>
      <c r="I465" s="127"/>
      <c r="J465" s="324"/>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row>
    <row r="466" spans="2:41" x14ac:dyDescent="0.25">
      <c r="B466" s="127"/>
      <c r="C466" s="127"/>
      <c r="D466" s="175"/>
      <c r="E466" s="127"/>
      <c r="F466" s="127"/>
      <c r="G466" s="127"/>
      <c r="H466" s="127"/>
      <c r="I466" s="127"/>
      <c r="J466" s="324"/>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row>
    <row r="467" spans="2:41" x14ac:dyDescent="0.25">
      <c r="B467" s="127"/>
      <c r="C467" s="127"/>
      <c r="D467" s="175"/>
      <c r="E467" s="127"/>
      <c r="F467" s="127"/>
      <c r="G467" s="127"/>
      <c r="H467" s="127"/>
      <c r="I467" s="127"/>
      <c r="J467" s="324"/>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row>
    <row r="468" spans="2:41" x14ac:dyDescent="0.25">
      <c r="B468" s="127"/>
      <c r="C468" s="127"/>
      <c r="D468" s="175"/>
      <c r="E468" s="127"/>
      <c r="F468" s="127"/>
      <c r="G468" s="127"/>
      <c r="H468" s="127"/>
      <c r="I468" s="127"/>
      <c r="J468" s="324"/>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row>
    <row r="469" spans="2:41" x14ac:dyDescent="0.25">
      <c r="B469" s="127"/>
      <c r="C469" s="127"/>
      <c r="D469" s="175"/>
      <c r="E469" s="127"/>
      <c r="F469" s="127"/>
      <c r="G469" s="127"/>
      <c r="H469" s="127"/>
      <c r="I469" s="127"/>
      <c r="J469" s="324"/>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row>
    <row r="470" spans="2:41" x14ac:dyDescent="0.25">
      <c r="B470" s="127"/>
      <c r="C470" s="127"/>
      <c r="D470" s="175"/>
      <c r="E470" s="127"/>
      <c r="F470" s="127"/>
      <c r="G470" s="127"/>
      <c r="H470" s="127"/>
      <c r="I470" s="127"/>
      <c r="J470" s="324"/>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row>
    <row r="471" spans="2:41" x14ac:dyDescent="0.25">
      <c r="B471" s="127"/>
      <c r="C471" s="127"/>
      <c r="D471" s="175"/>
      <c r="E471" s="127"/>
      <c r="F471" s="127"/>
      <c r="G471" s="127"/>
      <c r="H471" s="127"/>
      <c r="I471" s="127"/>
      <c r="J471" s="324"/>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row>
    <row r="472" spans="2:41" x14ac:dyDescent="0.25">
      <c r="B472" s="127"/>
      <c r="C472" s="127"/>
      <c r="D472" s="175"/>
      <c r="E472" s="127"/>
      <c r="F472" s="127"/>
      <c r="G472" s="127"/>
      <c r="H472" s="127"/>
      <c r="I472" s="127"/>
      <c r="J472" s="324"/>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row>
    <row r="473" spans="2:41" x14ac:dyDescent="0.25">
      <c r="B473" s="127"/>
      <c r="C473" s="127"/>
      <c r="D473" s="175"/>
      <c r="E473" s="127"/>
      <c r="F473" s="127"/>
      <c r="G473" s="127"/>
      <c r="H473" s="127"/>
      <c r="I473" s="127"/>
      <c r="J473" s="324"/>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row>
    <row r="474" spans="2:41" x14ac:dyDescent="0.25">
      <c r="B474" s="127"/>
      <c r="C474" s="127"/>
      <c r="D474" s="175"/>
      <c r="E474" s="127"/>
      <c r="F474" s="127"/>
      <c r="G474" s="127"/>
      <c r="H474" s="127"/>
      <c r="I474" s="127"/>
      <c r="J474" s="324"/>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row>
    <row r="475" spans="2:41" x14ac:dyDescent="0.25">
      <c r="B475" s="127"/>
      <c r="C475" s="127"/>
      <c r="D475" s="175"/>
      <c r="E475" s="127"/>
      <c r="F475" s="127"/>
      <c r="G475" s="127"/>
      <c r="H475" s="127"/>
      <c r="I475" s="127"/>
      <c r="J475" s="324"/>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row>
    <row r="476" spans="2:41" x14ac:dyDescent="0.25">
      <c r="B476" s="127"/>
      <c r="C476" s="127"/>
      <c r="D476" s="175"/>
      <c r="E476" s="127"/>
      <c r="F476" s="127"/>
      <c r="G476" s="127"/>
      <c r="H476" s="127"/>
      <c r="I476" s="127"/>
      <c r="J476" s="324"/>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row>
    <row r="477" spans="2:41" x14ac:dyDescent="0.25">
      <c r="B477" s="127"/>
      <c r="C477" s="127"/>
      <c r="D477" s="175"/>
      <c r="E477" s="127"/>
      <c r="F477" s="127"/>
      <c r="G477" s="127"/>
      <c r="H477" s="127"/>
      <c r="I477" s="127"/>
      <c r="J477" s="324"/>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row>
    <row r="478" spans="2:41" x14ac:dyDescent="0.25">
      <c r="B478" s="127"/>
      <c r="C478" s="127"/>
      <c r="D478" s="175"/>
      <c r="E478" s="127"/>
      <c r="F478" s="127"/>
      <c r="G478" s="127"/>
      <c r="H478" s="127"/>
      <c r="I478" s="127"/>
      <c r="J478" s="324"/>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row>
    <row r="479" spans="2:41" x14ac:dyDescent="0.25">
      <c r="B479" s="127"/>
      <c r="C479" s="127"/>
      <c r="D479" s="175"/>
      <c r="E479" s="127"/>
      <c r="F479" s="127"/>
      <c r="G479" s="127"/>
      <c r="H479" s="127"/>
      <c r="I479" s="127"/>
      <c r="J479" s="324"/>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row>
    <row r="480" spans="2:41" x14ac:dyDescent="0.25">
      <c r="B480" s="127"/>
      <c r="C480" s="127"/>
      <c r="D480" s="175"/>
      <c r="E480" s="127"/>
      <c r="F480" s="127"/>
      <c r="G480" s="127"/>
      <c r="H480" s="127"/>
      <c r="I480" s="127"/>
      <c r="J480" s="324"/>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row>
    <row r="481" spans="2:41" x14ac:dyDescent="0.25">
      <c r="B481" s="127"/>
      <c r="C481" s="127"/>
      <c r="D481" s="175"/>
      <c r="E481" s="127"/>
      <c r="F481" s="127"/>
      <c r="G481" s="127"/>
      <c r="H481" s="127"/>
      <c r="I481" s="127"/>
      <c r="J481" s="324"/>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row>
    <row r="482" spans="2:41" x14ac:dyDescent="0.25">
      <c r="B482" s="127"/>
      <c r="C482" s="127"/>
      <c r="D482" s="175"/>
      <c r="E482" s="127"/>
      <c r="F482" s="127"/>
      <c r="G482" s="127"/>
      <c r="H482" s="127"/>
      <c r="I482" s="127"/>
      <c r="J482" s="324"/>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row>
    <row r="483" spans="2:41" x14ac:dyDescent="0.25">
      <c r="B483" s="127"/>
      <c r="C483" s="127"/>
      <c r="D483" s="175"/>
      <c r="E483" s="127"/>
      <c r="F483" s="127"/>
      <c r="G483" s="127"/>
      <c r="H483" s="127"/>
      <c r="I483" s="127"/>
      <c r="J483" s="324"/>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row>
    <row r="484" spans="2:41" x14ac:dyDescent="0.25">
      <c r="B484" s="127"/>
      <c r="C484" s="127"/>
      <c r="D484" s="175"/>
      <c r="E484" s="127"/>
      <c r="F484" s="127"/>
      <c r="G484" s="127"/>
      <c r="H484" s="127"/>
      <c r="I484" s="127"/>
      <c r="J484" s="324"/>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row>
    <row r="485" spans="2:41" x14ac:dyDescent="0.25">
      <c r="B485" s="127"/>
      <c r="C485" s="127"/>
      <c r="D485" s="175"/>
      <c r="E485" s="127"/>
      <c r="F485" s="127"/>
      <c r="G485" s="127"/>
      <c r="H485" s="127"/>
      <c r="I485" s="127"/>
      <c r="J485" s="324"/>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row>
    <row r="486" spans="2:41" x14ac:dyDescent="0.25">
      <c r="B486" s="127"/>
      <c r="C486" s="127"/>
      <c r="D486" s="175"/>
      <c r="E486" s="127"/>
      <c r="F486" s="127"/>
      <c r="G486" s="127"/>
      <c r="H486" s="127"/>
      <c r="I486" s="127"/>
      <c r="J486" s="324"/>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row>
    <row r="487" spans="2:41" x14ac:dyDescent="0.25">
      <c r="B487" s="127"/>
      <c r="C487" s="127"/>
      <c r="D487" s="175"/>
      <c r="E487" s="127"/>
      <c r="F487" s="127"/>
      <c r="G487" s="127"/>
      <c r="H487" s="127"/>
      <c r="I487" s="127"/>
      <c r="J487" s="324"/>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row>
    <row r="488" spans="2:41" x14ac:dyDescent="0.25">
      <c r="B488" s="127"/>
      <c r="C488" s="127"/>
      <c r="D488" s="175"/>
      <c r="E488" s="127"/>
      <c r="F488" s="127"/>
      <c r="G488" s="127"/>
      <c r="H488" s="127"/>
      <c r="I488" s="127"/>
      <c r="J488" s="324"/>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row>
    <row r="489" spans="2:41" x14ac:dyDescent="0.25">
      <c r="B489" s="127"/>
      <c r="C489" s="127"/>
      <c r="D489" s="175"/>
      <c r="E489" s="127"/>
      <c r="F489" s="127"/>
      <c r="G489" s="127"/>
      <c r="H489" s="127"/>
      <c r="I489" s="127"/>
      <c r="J489" s="324"/>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row>
    <row r="490" spans="2:41" x14ac:dyDescent="0.25">
      <c r="B490" s="127"/>
      <c r="C490" s="127"/>
      <c r="D490" s="175"/>
      <c r="E490" s="127"/>
      <c r="F490" s="127"/>
      <c r="G490" s="127"/>
      <c r="H490" s="127"/>
      <c r="I490" s="127"/>
      <c r="J490" s="324"/>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row>
    <row r="491" spans="2:41" x14ac:dyDescent="0.25">
      <c r="B491" s="127"/>
      <c r="C491" s="127"/>
      <c r="D491" s="175"/>
      <c r="E491" s="127"/>
      <c r="F491" s="127"/>
      <c r="G491" s="127"/>
      <c r="H491" s="127"/>
      <c r="I491" s="127"/>
      <c r="J491" s="324"/>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row>
    <row r="492" spans="2:41" x14ac:dyDescent="0.25">
      <c r="B492" s="127"/>
      <c r="C492" s="127"/>
      <c r="D492" s="175"/>
      <c r="E492" s="127"/>
      <c r="F492" s="127"/>
      <c r="G492" s="127"/>
      <c r="H492" s="127"/>
      <c r="I492" s="127"/>
      <c r="J492" s="324"/>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row>
    <row r="493" spans="2:41" x14ac:dyDescent="0.25">
      <c r="B493" s="127"/>
      <c r="C493" s="127"/>
      <c r="D493" s="175"/>
      <c r="E493" s="127"/>
      <c r="F493" s="127"/>
      <c r="G493" s="127"/>
      <c r="H493" s="127"/>
      <c r="I493" s="127"/>
      <c r="J493" s="324"/>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row>
    <row r="494" spans="2:41" x14ac:dyDescent="0.25">
      <c r="B494" s="127"/>
      <c r="C494" s="127"/>
      <c r="D494" s="175"/>
      <c r="E494" s="127"/>
      <c r="F494" s="127"/>
      <c r="G494" s="127"/>
      <c r="H494" s="127"/>
      <c r="I494" s="127"/>
      <c r="J494" s="324"/>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row>
    <row r="495" spans="2:41" x14ac:dyDescent="0.25">
      <c r="B495" s="127"/>
      <c r="C495" s="127"/>
      <c r="D495" s="175"/>
      <c r="E495" s="127"/>
      <c r="F495" s="127"/>
      <c r="G495" s="127"/>
      <c r="H495" s="127"/>
      <c r="I495" s="127"/>
      <c r="J495" s="324"/>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row>
    <row r="496" spans="2:41" x14ac:dyDescent="0.25">
      <c r="B496" s="127"/>
      <c r="C496" s="127"/>
      <c r="D496" s="175"/>
      <c r="E496" s="127"/>
      <c r="F496" s="127"/>
      <c r="G496" s="127"/>
      <c r="H496" s="127"/>
      <c r="I496" s="127"/>
      <c r="J496" s="324"/>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row>
    <row r="497" spans="2:41" x14ac:dyDescent="0.25">
      <c r="B497" s="127"/>
      <c r="C497" s="127"/>
      <c r="D497" s="175"/>
      <c r="E497" s="127"/>
      <c r="F497" s="127"/>
      <c r="G497" s="127"/>
      <c r="H497" s="127"/>
      <c r="I497" s="127"/>
      <c r="J497" s="324"/>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row>
    <row r="498" spans="2:41" x14ac:dyDescent="0.25">
      <c r="B498" s="127"/>
      <c r="C498" s="127"/>
      <c r="D498" s="175"/>
      <c r="E498" s="127"/>
      <c r="F498" s="127"/>
      <c r="G498" s="127"/>
      <c r="H498" s="127"/>
      <c r="I498" s="127"/>
      <c r="J498" s="324"/>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row>
    <row r="499" spans="2:41" x14ac:dyDescent="0.25">
      <c r="B499" s="127"/>
      <c r="C499" s="127"/>
      <c r="D499" s="175"/>
      <c r="E499" s="127"/>
      <c r="F499" s="127"/>
      <c r="G499" s="127"/>
      <c r="H499" s="127"/>
      <c r="I499" s="127"/>
      <c r="J499" s="324"/>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row>
    <row r="500" spans="2:41" x14ac:dyDescent="0.25">
      <c r="B500" s="127"/>
      <c r="C500" s="127"/>
      <c r="D500" s="175"/>
      <c r="E500" s="127"/>
      <c r="F500" s="127"/>
      <c r="G500" s="127"/>
      <c r="H500" s="127"/>
      <c r="I500" s="127"/>
      <c r="J500" s="324"/>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row>
    <row r="501" spans="2:41" x14ac:dyDescent="0.25">
      <c r="B501" s="127"/>
      <c r="C501" s="127"/>
      <c r="D501" s="175"/>
      <c r="E501" s="127"/>
      <c r="F501" s="127"/>
      <c r="G501" s="127"/>
      <c r="H501" s="127"/>
      <c r="I501" s="127"/>
      <c r="J501" s="324"/>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row>
    <row r="502" spans="2:41" x14ac:dyDescent="0.25">
      <c r="B502" s="127"/>
      <c r="C502" s="127"/>
      <c r="D502" s="175"/>
      <c r="E502" s="127"/>
      <c r="F502" s="127"/>
      <c r="G502" s="127"/>
      <c r="H502" s="127"/>
      <c r="I502" s="127"/>
      <c r="J502" s="324"/>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row>
    <row r="503" spans="2:41" x14ac:dyDescent="0.25">
      <c r="B503" s="127"/>
      <c r="C503" s="127"/>
      <c r="D503" s="175"/>
      <c r="E503" s="127"/>
      <c r="F503" s="127"/>
      <c r="G503" s="127"/>
      <c r="H503" s="127"/>
      <c r="I503" s="127"/>
      <c r="J503" s="324"/>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row>
    <row r="504" spans="2:41" x14ac:dyDescent="0.25">
      <c r="B504" s="127"/>
      <c r="C504" s="127"/>
      <c r="D504" s="175"/>
      <c r="E504" s="127"/>
      <c r="F504" s="127"/>
      <c r="G504" s="127"/>
      <c r="H504" s="127"/>
      <c r="I504" s="127"/>
      <c r="J504" s="324"/>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row>
    <row r="505" spans="2:41" x14ac:dyDescent="0.25">
      <c r="B505" s="127"/>
      <c r="C505" s="127"/>
      <c r="D505" s="175"/>
      <c r="E505" s="127"/>
      <c r="F505" s="127"/>
      <c r="G505" s="127"/>
      <c r="H505" s="127"/>
      <c r="I505" s="127"/>
      <c r="J505" s="324"/>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row>
    <row r="506" spans="2:41" x14ac:dyDescent="0.25">
      <c r="B506" s="127"/>
      <c r="C506" s="127"/>
      <c r="D506" s="175"/>
      <c r="E506" s="127"/>
      <c r="F506" s="127"/>
      <c r="G506" s="127"/>
      <c r="H506" s="127"/>
      <c r="I506" s="127"/>
      <c r="J506" s="324"/>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row>
    <row r="507" spans="2:41" x14ac:dyDescent="0.25">
      <c r="B507" s="127"/>
      <c r="C507" s="127"/>
      <c r="D507" s="175"/>
      <c r="E507" s="127"/>
      <c r="F507" s="127"/>
      <c r="G507" s="127"/>
      <c r="H507" s="127"/>
      <c r="I507" s="127"/>
      <c r="J507" s="324"/>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row>
    <row r="508" spans="2:41" x14ac:dyDescent="0.25">
      <c r="B508" s="127"/>
      <c r="C508" s="127"/>
      <c r="D508" s="175"/>
      <c r="E508" s="127"/>
      <c r="F508" s="127"/>
      <c r="G508" s="127"/>
      <c r="H508" s="127"/>
      <c r="I508" s="127"/>
      <c r="J508" s="324"/>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row>
    <row r="509" spans="2:41" x14ac:dyDescent="0.25">
      <c r="B509" s="127"/>
      <c r="C509" s="127"/>
      <c r="D509" s="175"/>
      <c r="E509" s="127"/>
      <c r="F509" s="127"/>
      <c r="G509" s="127"/>
      <c r="H509" s="127"/>
      <c r="I509" s="127"/>
      <c r="J509" s="324"/>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row>
    <row r="510" spans="2:41" x14ac:dyDescent="0.25">
      <c r="B510" s="127"/>
      <c r="C510" s="127"/>
      <c r="D510" s="175"/>
      <c r="E510" s="127"/>
      <c r="F510" s="127"/>
      <c r="G510" s="127"/>
      <c r="H510" s="127"/>
      <c r="I510" s="127"/>
      <c r="J510" s="324"/>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row>
    <row r="511" spans="2:41" x14ac:dyDescent="0.25">
      <c r="B511" s="127"/>
      <c r="C511" s="127"/>
      <c r="D511" s="175"/>
      <c r="E511" s="127"/>
      <c r="F511" s="127"/>
      <c r="G511" s="127"/>
      <c r="H511" s="127"/>
      <c r="I511" s="127"/>
      <c r="J511" s="324"/>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row>
    <row r="512" spans="2:41" x14ac:dyDescent="0.25">
      <c r="B512" s="127"/>
      <c r="C512" s="127"/>
      <c r="D512" s="175"/>
      <c r="E512" s="127"/>
      <c r="F512" s="127"/>
      <c r="G512" s="127"/>
      <c r="H512" s="127"/>
      <c r="I512" s="127"/>
      <c r="J512" s="324"/>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row>
  </sheetData>
  <sheetProtection password="CF27" sheet="1" objects="1" scenarios="1"/>
  <customSheetViews>
    <customSheetView guid="{C5ECCA7E-81F6-46F5-BEA0-A5F2DAD22AC9}" scale="80" topLeftCell="AA1">
      <selection activeCell="AH24" sqref="AH24"/>
      <pageMargins left="0.7" right="0.7" top="0.75" bottom="0.75" header="0.3" footer="0.3"/>
      <pageSetup orientation="portrait" r:id="rId1"/>
    </customSheetView>
    <customSheetView guid="{40D14490-07BB-46F3-8435-9C462BE853EE}" scale="80" topLeftCell="AA1">
      <selection activeCell="AH24" sqref="AH24"/>
      <pageMargins left="0.7" right="0.7" top="0.75" bottom="0.75" header="0.3" footer="0.3"/>
      <pageSetup orientation="portrait" r:id="rId2"/>
    </customSheetView>
  </customSheetViews>
  <mergeCells count="12">
    <mergeCell ref="B171:B194"/>
    <mergeCell ref="B199:B222"/>
    <mergeCell ref="B227:B250"/>
    <mergeCell ref="B255:B278"/>
    <mergeCell ref="Q255:U255"/>
    <mergeCell ref="B28:AB28"/>
    <mergeCell ref="B21:B27"/>
    <mergeCell ref="B143:B166"/>
    <mergeCell ref="B31:B54"/>
    <mergeCell ref="B59:B82"/>
    <mergeCell ref="B87:B110"/>
    <mergeCell ref="B115:B138"/>
  </mergeCells>
  <pageMargins left="0.7" right="0.7" top="0.75" bottom="0.75" header="0.3" footer="0.3"/>
  <pageSetup orientation="portrait"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J36"/>
  <sheetViews>
    <sheetView topLeftCell="D9" workbookViewId="0">
      <selection activeCell="M28" sqref="M28"/>
    </sheetView>
  </sheetViews>
  <sheetFormatPr defaultRowHeight="12.5" x14ac:dyDescent="0.25"/>
  <cols>
    <col min="2" max="7" width="10.6328125" customWidth="1"/>
    <col min="8" max="9" width="12.6328125" customWidth="1"/>
  </cols>
  <sheetData>
    <row r="9" spans="1:10" ht="13" x14ac:dyDescent="0.3">
      <c r="B9" s="127"/>
      <c r="C9" s="127"/>
      <c r="D9" s="127"/>
      <c r="E9" s="178" t="s">
        <v>44</v>
      </c>
      <c r="F9" s="435">
        <f>'Current version'!AZ33</f>
        <v>1</v>
      </c>
      <c r="G9" s="127"/>
      <c r="H9" s="127"/>
      <c r="I9" s="127"/>
      <c r="J9" s="127"/>
    </row>
    <row r="10" spans="1:10" s="20" customFormat="1" ht="52" x14ac:dyDescent="0.25">
      <c r="B10" s="431"/>
      <c r="C10" s="431"/>
      <c r="D10" s="428" t="s">
        <v>288</v>
      </c>
      <c r="E10" s="428" t="s">
        <v>289</v>
      </c>
      <c r="F10" s="428" t="s">
        <v>291</v>
      </c>
      <c r="G10" s="433" t="s">
        <v>290</v>
      </c>
      <c r="H10" s="433" t="s">
        <v>292</v>
      </c>
      <c r="I10" s="433" t="s">
        <v>368</v>
      </c>
      <c r="J10" s="431"/>
    </row>
    <row r="11" spans="1:10" ht="15.5" x14ac:dyDescent="0.35">
      <c r="A11" s="589" t="s">
        <v>367</v>
      </c>
      <c r="B11" s="589"/>
      <c r="C11" s="589"/>
      <c r="D11" s="436">
        <v>0</v>
      </c>
      <c r="E11" s="436">
        <v>1</v>
      </c>
      <c r="F11" s="436">
        <v>2</v>
      </c>
      <c r="G11" s="436">
        <v>3</v>
      </c>
      <c r="H11" s="436">
        <v>4</v>
      </c>
      <c r="I11" s="437" t="s">
        <v>320</v>
      </c>
      <c r="J11" s="127"/>
    </row>
    <row r="12" spans="1:10" ht="13" x14ac:dyDescent="0.3">
      <c r="B12" s="439">
        <f>'Current version'!AZ4</f>
        <v>40544</v>
      </c>
      <c r="C12" s="429">
        <f t="shared" ref="C12:C35" si="0">IF($F$9=0,0,IF($F$9=1,E12,IF($F$9=2,F12,IF($F$9=3,G12,IF($F$9=4,H12,IF($F$9="x",I12,"error"))))))</f>
        <v>0</v>
      </c>
      <c r="D12" s="429"/>
      <c r="E12" s="429"/>
      <c r="F12" s="429"/>
      <c r="G12" s="429"/>
      <c r="H12" s="175"/>
      <c r="I12" s="432"/>
      <c r="J12" s="181">
        <f t="shared" ref="J12:J35" si="1">B12</f>
        <v>40544</v>
      </c>
    </row>
    <row r="13" spans="1:10" ht="13" x14ac:dyDescent="0.3">
      <c r="B13" s="440">
        <f>'Current version'!AZ5</f>
        <v>40558</v>
      </c>
      <c r="C13" s="429">
        <f t="shared" si="0"/>
        <v>0</v>
      </c>
      <c r="D13" s="429"/>
      <c r="E13" s="429"/>
      <c r="F13" s="429"/>
      <c r="G13" s="429"/>
      <c r="H13" s="175"/>
      <c r="I13" s="114"/>
      <c r="J13" s="181">
        <f t="shared" si="1"/>
        <v>40558</v>
      </c>
    </row>
    <row r="14" spans="1:10" ht="13" x14ac:dyDescent="0.3">
      <c r="B14" s="440">
        <f>'Current version'!AZ6</f>
        <v>40575</v>
      </c>
      <c r="C14" s="429">
        <f t="shared" si="0"/>
        <v>0</v>
      </c>
      <c r="D14" s="429"/>
      <c r="E14" s="429"/>
      <c r="F14" s="429"/>
      <c r="G14" s="429"/>
      <c r="H14" s="175"/>
      <c r="I14" s="306"/>
      <c r="J14" s="181">
        <f t="shared" si="1"/>
        <v>40575</v>
      </c>
    </row>
    <row r="15" spans="1:10" ht="13" x14ac:dyDescent="0.3">
      <c r="B15" s="440">
        <f>'Current version'!AZ7</f>
        <v>40589</v>
      </c>
      <c r="C15" s="429">
        <f t="shared" si="0"/>
        <v>0</v>
      </c>
      <c r="D15" s="429"/>
      <c r="E15" s="429"/>
      <c r="F15" s="429"/>
      <c r="G15" s="429"/>
      <c r="H15" s="441"/>
      <c r="I15" s="114"/>
      <c r="J15" s="438">
        <f t="shared" si="1"/>
        <v>40589</v>
      </c>
    </row>
    <row r="16" spans="1:10" ht="13" x14ac:dyDescent="0.3">
      <c r="B16" s="440">
        <f>'Current version'!AZ8</f>
        <v>40603</v>
      </c>
      <c r="C16" s="429">
        <f t="shared" si="0"/>
        <v>0</v>
      </c>
      <c r="D16" s="429"/>
      <c r="E16" s="429"/>
      <c r="F16" s="429"/>
      <c r="G16" s="429"/>
      <c r="H16" s="441"/>
      <c r="I16" s="114"/>
      <c r="J16" s="438">
        <f t="shared" si="1"/>
        <v>40603</v>
      </c>
    </row>
    <row r="17" spans="2:10" ht="13" x14ac:dyDescent="0.3">
      <c r="B17" s="440">
        <f>'Current version'!AZ9</f>
        <v>40617</v>
      </c>
      <c r="C17" s="429">
        <f t="shared" si="0"/>
        <v>0</v>
      </c>
      <c r="D17" s="429"/>
      <c r="E17" s="429"/>
      <c r="F17" s="429"/>
      <c r="G17" s="429"/>
      <c r="H17" s="441"/>
      <c r="I17" s="114"/>
      <c r="J17" s="438">
        <f t="shared" si="1"/>
        <v>40617</v>
      </c>
    </row>
    <row r="18" spans="2:10" ht="13" x14ac:dyDescent="0.3">
      <c r="B18" s="440">
        <f>'Current version'!AZ10</f>
        <v>40634</v>
      </c>
      <c r="C18" s="429">
        <f t="shared" si="0"/>
        <v>0</v>
      </c>
      <c r="D18" s="429"/>
      <c r="E18" s="429"/>
      <c r="F18" s="429"/>
      <c r="G18" s="429"/>
      <c r="H18" s="441"/>
      <c r="I18" s="114"/>
      <c r="J18" s="438">
        <f t="shared" si="1"/>
        <v>40634</v>
      </c>
    </row>
    <row r="19" spans="2:10" ht="13" x14ac:dyDescent="0.3">
      <c r="B19" s="440">
        <f>'Current version'!AZ11</f>
        <v>40648</v>
      </c>
      <c r="C19" s="429">
        <f t="shared" si="0"/>
        <v>0</v>
      </c>
      <c r="D19" s="429"/>
      <c r="E19" s="429"/>
      <c r="F19" s="429"/>
      <c r="G19" s="429"/>
      <c r="H19" s="441"/>
      <c r="I19" s="114"/>
      <c r="J19" s="438">
        <f t="shared" si="1"/>
        <v>40648</v>
      </c>
    </row>
    <row r="20" spans="2:10" ht="13" x14ac:dyDescent="0.3">
      <c r="B20" s="440">
        <f>'Current version'!AZ12</f>
        <v>40664</v>
      </c>
      <c r="C20" s="429">
        <f t="shared" si="0"/>
        <v>0</v>
      </c>
      <c r="D20" s="429"/>
      <c r="E20" s="429"/>
      <c r="F20" s="429"/>
      <c r="G20" s="429"/>
      <c r="H20" s="441"/>
      <c r="I20" s="114"/>
      <c r="J20" s="438">
        <f t="shared" si="1"/>
        <v>40664</v>
      </c>
    </row>
    <row r="21" spans="2:10" ht="13" x14ac:dyDescent="0.3">
      <c r="B21" s="440">
        <f>'Current version'!AZ13</f>
        <v>40678</v>
      </c>
      <c r="C21" s="429">
        <f t="shared" si="0"/>
        <v>0</v>
      </c>
      <c r="D21" s="429"/>
      <c r="E21" s="429"/>
      <c r="F21" s="429"/>
      <c r="G21" s="429"/>
      <c r="H21" s="441"/>
      <c r="I21" s="114"/>
      <c r="J21" s="438">
        <f t="shared" si="1"/>
        <v>40678</v>
      </c>
    </row>
    <row r="22" spans="2:10" x14ac:dyDescent="0.25">
      <c r="B22" s="440">
        <f>'Current version'!AZ14</f>
        <v>40695</v>
      </c>
      <c r="C22" s="429">
        <f t="shared" si="0"/>
        <v>2</v>
      </c>
      <c r="D22" s="429">
        <v>0</v>
      </c>
      <c r="E22" s="349">
        <v>2</v>
      </c>
      <c r="F22" s="429">
        <v>5</v>
      </c>
      <c r="G22" s="429">
        <v>10</v>
      </c>
      <c r="H22" s="441">
        <v>20</v>
      </c>
      <c r="I22" s="153">
        <v>10</v>
      </c>
      <c r="J22" s="438">
        <f t="shared" si="1"/>
        <v>40695</v>
      </c>
    </row>
    <row r="23" spans="2:10" x14ac:dyDescent="0.25">
      <c r="B23" s="440">
        <f>'Current version'!AZ15</f>
        <v>40709</v>
      </c>
      <c r="C23" s="429">
        <f t="shared" si="0"/>
        <v>3</v>
      </c>
      <c r="D23" s="429">
        <v>0</v>
      </c>
      <c r="E23" s="349">
        <v>3</v>
      </c>
      <c r="F23" s="429">
        <v>5</v>
      </c>
      <c r="G23" s="429">
        <v>10</v>
      </c>
      <c r="H23" s="441">
        <v>30</v>
      </c>
      <c r="I23" s="153">
        <v>20</v>
      </c>
      <c r="J23" s="438">
        <f t="shared" si="1"/>
        <v>40709</v>
      </c>
    </row>
    <row r="24" spans="2:10" x14ac:dyDescent="0.25">
      <c r="B24" s="440">
        <f>'Current version'!AZ16</f>
        <v>40725</v>
      </c>
      <c r="C24" s="429">
        <f t="shared" si="0"/>
        <v>5</v>
      </c>
      <c r="D24" s="429">
        <v>0</v>
      </c>
      <c r="E24" s="349">
        <v>5</v>
      </c>
      <c r="F24" s="429">
        <v>15</v>
      </c>
      <c r="G24" s="429">
        <v>21</v>
      </c>
      <c r="H24" s="441">
        <v>45</v>
      </c>
      <c r="I24" s="153">
        <v>40</v>
      </c>
      <c r="J24" s="438">
        <f t="shared" si="1"/>
        <v>40725</v>
      </c>
    </row>
    <row r="25" spans="2:10" x14ac:dyDescent="0.25">
      <c r="B25" s="440">
        <f>'Current version'!AZ17</f>
        <v>40739</v>
      </c>
      <c r="C25" s="429">
        <f t="shared" si="0"/>
        <v>10</v>
      </c>
      <c r="D25" s="429">
        <v>0</v>
      </c>
      <c r="E25" s="349">
        <v>10</v>
      </c>
      <c r="F25" s="429">
        <v>20</v>
      </c>
      <c r="G25" s="429">
        <v>45</v>
      </c>
      <c r="H25" s="441">
        <v>75</v>
      </c>
      <c r="I25" s="153"/>
      <c r="J25" s="438">
        <f t="shared" si="1"/>
        <v>40739</v>
      </c>
    </row>
    <row r="26" spans="2:10" x14ac:dyDescent="0.25">
      <c r="B26" s="440">
        <f>'Current version'!AZ18</f>
        <v>40756</v>
      </c>
      <c r="C26" s="429">
        <f t="shared" si="0"/>
        <v>15</v>
      </c>
      <c r="D26" s="429">
        <v>0</v>
      </c>
      <c r="E26" s="349">
        <v>15</v>
      </c>
      <c r="F26" s="429">
        <v>50</v>
      </c>
      <c r="G26" s="207">
        <v>130</v>
      </c>
      <c r="H26" s="441">
        <v>200</v>
      </c>
      <c r="I26" s="153">
        <v>10</v>
      </c>
      <c r="J26" s="438">
        <f t="shared" si="1"/>
        <v>40756</v>
      </c>
    </row>
    <row r="27" spans="2:10" x14ac:dyDescent="0.25">
      <c r="B27" s="440">
        <f>'Current version'!AZ19</f>
        <v>40770</v>
      </c>
      <c r="C27" s="429">
        <f t="shared" si="0"/>
        <v>30</v>
      </c>
      <c r="D27" s="429">
        <v>0</v>
      </c>
      <c r="E27" s="349">
        <v>30</v>
      </c>
      <c r="F27" s="429">
        <v>100</v>
      </c>
      <c r="G27" s="207">
        <v>175</v>
      </c>
      <c r="H27" s="441">
        <v>400</v>
      </c>
      <c r="I27" s="153"/>
      <c r="J27" s="438">
        <f t="shared" si="1"/>
        <v>40770</v>
      </c>
    </row>
    <row r="28" spans="2:10" x14ac:dyDescent="0.25">
      <c r="B28" s="440">
        <f>'Current version'!AZ20</f>
        <v>40787</v>
      </c>
      <c r="C28" s="429">
        <f t="shared" si="0"/>
        <v>40</v>
      </c>
      <c r="D28" s="429">
        <v>0</v>
      </c>
      <c r="E28" s="349">
        <v>40</v>
      </c>
      <c r="F28" s="429">
        <v>125</v>
      </c>
      <c r="G28" s="207">
        <v>210</v>
      </c>
      <c r="H28" s="441">
        <v>500</v>
      </c>
      <c r="I28" s="153"/>
      <c r="J28" s="438">
        <f t="shared" si="1"/>
        <v>40787</v>
      </c>
    </row>
    <row r="29" spans="2:10" x14ac:dyDescent="0.25">
      <c r="B29" s="440">
        <f>'Current version'!AZ21</f>
        <v>40801</v>
      </c>
      <c r="C29" s="429">
        <f t="shared" si="0"/>
        <v>50</v>
      </c>
      <c r="D29" s="429">
        <v>0</v>
      </c>
      <c r="E29" s="349">
        <v>50</v>
      </c>
      <c r="F29" s="429">
        <v>100</v>
      </c>
      <c r="G29" s="207">
        <v>180</v>
      </c>
      <c r="H29" s="441">
        <v>400</v>
      </c>
      <c r="I29" s="153"/>
      <c r="J29" s="438">
        <f t="shared" si="1"/>
        <v>40801</v>
      </c>
    </row>
    <row r="30" spans="2:10" x14ac:dyDescent="0.25">
      <c r="B30" s="440">
        <f>'Current version'!AZ22</f>
        <v>40817</v>
      </c>
      <c r="C30" s="429">
        <f t="shared" si="0"/>
        <v>30</v>
      </c>
      <c r="D30" s="429">
        <v>0</v>
      </c>
      <c r="E30" s="349">
        <v>30</v>
      </c>
      <c r="F30" s="429">
        <v>50</v>
      </c>
      <c r="G30" s="207">
        <v>130</v>
      </c>
      <c r="H30" s="441">
        <v>200</v>
      </c>
      <c r="I30" s="153"/>
      <c r="J30" s="438">
        <f t="shared" si="1"/>
        <v>40817</v>
      </c>
    </row>
    <row r="31" spans="2:10" x14ac:dyDescent="0.25">
      <c r="B31" s="440">
        <f>'Current version'!AZ23</f>
        <v>40831</v>
      </c>
      <c r="C31" s="429">
        <f t="shared" si="0"/>
        <v>10</v>
      </c>
      <c r="D31" s="429">
        <v>0</v>
      </c>
      <c r="E31" s="349">
        <v>10</v>
      </c>
      <c r="F31" s="429">
        <v>25</v>
      </c>
      <c r="G31" s="207">
        <v>75</v>
      </c>
      <c r="H31" s="441">
        <v>100</v>
      </c>
      <c r="I31" s="153"/>
      <c r="J31" s="438">
        <f t="shared" si="1"/>
        <v>40831</v>
      </c>
    </row>
    <row r="32" spans="2:10" x14ac:dyDescent="0.25">
      <c r="B32" s="440">
        <f>'Current version'!AZ24</f>
        <v>40848</v>
      </c>
      <c r="C32" s="429">
        <f t="shared" si="0"/>
        <v>5</v>
      </c>
      <c r="D32" s="429">
        <v>0</v>
      </c>
      <c r="E32" s="349">
        <v>5</v>
      </c>
      <c r="F32" s="429">
        <v>5</v>
      </c>
      <c r="G32" s="207">
        <v>14</v>
      </c>
      <c r="H32" s="441">
        <v>30</v>
      </c>
      <c r="I32" s="153"/>
      <c r="J32" s="438">
        <f t="shared" si="1"/>
        <v>40848</v>
      </c>
    </row>
    <row r="33" spans="2:10" ht="13" x14ac:dyDescent="0.3">
      <c r="B33" s="440">
        <f>'Current version'!AZ25</f>
        <v>40862</v>
      </c>
      <c r="C33" s="429">
        <f t="shared" si="0"/>
        <v>0</v>
      </c>
      <c r="D33" s="429"/>
      <c r="E33" s="349"/>
      <c r="F33" s="429"/>
      <c r="G33" s="207"/>
      <c r="H33" s="441"/>
      <c r="I33" s="430"/>
      <c r="J33" s="438">
        <f t="shared" si="1"/>
        <v>40862</v>
      </c>
    </row>
    <row r="34" spans="2:10" ht="13" x14ac:dyDescent="0.3">
      <c r="B34" s="440">
        <f>'Current version'!AZ26</f>
        <v>40878</v>
      </c>
      <c r="C34" s="429">
        <f t="shared" si="0"/>
        <v>0</v>
      </c>
      <c r="D34" s="429"/>
      <c r="E34" s="349"/>
      <c r="F34" s="429"/>
      <c r="G34" s="207"/>
      <c r="H34" s="441"/>
      <c r="I34" s="430"/>
      <c r="J34" s="438">
        <f t="shared" si="1"/>
        <v>40878</v>
      </c>
    </row>
    <row r="35" spans="2:10" ht="13" x14ac:dyDescent="0.3">
      <c r="B35" s="440">
        <f>'Current version'!AZ27</f>
        <v>40892</v>
      </c>
      <c r="C35" s="429">
        <f t="shared" si="0"/>
        <v>0</v>
      </c>
      <c r="D35" s="429"/>
      <c r="E35" s="349"/>
      <c r="F35" s="429"/>
      <c r="G35" s="207"/>
      <c r="H35" s="441"/>
      <c r="I35" s="430"/>
      <c r="J35" s="438">
        <f t="shared" si="1"/>
        <v>40892</v>
      </c>
    </row>
    <row r="36" spans="2:10" ht="13" x14ac:dyDescent="0.3">
      <c r="B36" s="590" t="s">
        <v>369</v>
      </c>
      <c r="C36" s="590"/>
      <c r="D36" s="434">
        <f>SUM(D12:D35)</f>
        <v>0</v>
      </c>
      <c r="E36" s="434">
        <f>SUM(E12:E35)</f>
        <v>200</v>
      </c>
      <c r="F36" s="434">
        <f>SUM(F12:F35)</f>
        <v>500</v>
      </c>
      <c r="G36" s="434">
        <v>1000</v>
      </c>
      <c r="H36" s="442">
        <f>SUM(H12:H35)</f>
        <v>2000</v>
      </c>
      <c r="I36" s="434">
        <f>SUM(I12:I35)</f>
        <v>80</v>
      </c>
      <c r="J36" s="127"/>
    </row>
  </sheetData>
  <sheetProtection password="CF27" sheet="1" objects="1" scenarios="1"/>
  <customSheetViews>
    <customSheetView guid="{C5ECCA7E-81F6-46F5-BEA0-A5F2DAD22AC9}" topLeftCell="A12">
      <selection activeCell="M24" sqref="M24"/>
      <pageMargins left="0.7" right="0.7" top="0.75" bottom="0.75" header="0.3" footer="0.3"/>
    </customSheetView>
    <customSheetView guid="{40D14490-07BB-46F3-8435-9C462BE853EE}" topLeftCell="A12">
      <selection activeCell="M24" sqref="M24"/>
      <pageMargins left="0.7" right="0.7" top="0.75" bottom="0.75" header="0.3" footer="0.3"/>
    </customSheetView>
  </customSheetViews>
  <mergeCells count="2">
    <mergeCell ref="A11:C11"/>
    <mergeCell ref="B36:C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3" zoomScale="85" zoomScaleNormal="85" workbookViewId="0">
      <selection activeCell="J22" sqref="J22"/>
    </sheetView>
  </sheetViews>
  <sheetFormatPr defaultRowHeight="12.5" x14ac:dyDescent="0.25"/>
  <sheetData>
    <row r="1" spans="1:2" x14ac:dyDescent="0.25">
      <c r="A1" s="284"/>
      <c r="B1" t="s">
        <v>323</v>
      </c>
    </row>
    <row r="23" spans="2:18" ht="12.75" customHeight="1" x14ac:dyDescent="0.25">
      <c r="K23" s="496" t="s">
        <v>324</v>
      </c>
      <c r="L23" s="496"/>
      <c r="M23" s="496"/>
      <c r="N23" s="496"/>
      <c r="O23" s="496"/>
      <c r="P23" s="496"/>
      <c r="Q23" s="496"/>
      <c r="R23" s="496"/>
    </row>
    <row r="24" spans="2:18" x14ac:dyDescent="0.25">
      <c r="K24" s="496"/>
      <c r="L24" s="496"/>
      <c r="M24" s="496"/>
      <c r="N24" s="496"/>
      <c r="O24" s="496"/>
      <c r="P24" s="496"/>
      <c r="Q24" s="496"/>
      <c r="R24" s="496"/>
    </row>
    <row r="25" spans="2:18" x14ac:dyDescent="0.25">
      <c r="K25" s="496"/>
      <c r="L25" s="496"/>
      <c r="M25" s="496"/>
      <c r="N25" s="496"/>
      <c r="O25" s="496"/>
      <c r="P25" s="496"/>
      <c r="Q25" s="496"/>
      <c r="R25" s="496"/>
    </row>
    <row r="26" spans="2:18" x14ac:dyDescent="0.25">
      <c r="K26" s="496"/>
      <c r="L26" s="496"/>
      <c r="M26" s="496"/>
      <c r="N26" s="496"/>
      <c r="O26" s="496"/>
      <c r="P26" s="496"/>
      <c r="Q26" s="496"/>
      <c r="R26" s="496"/>
    </row>
    <row r="27" spans="2:18" x14ac:dyDescent="0.25">
      <c r="K27" s="496"/>
      <c r="L27" s="496"/>
      <c r="M27" s="496"/>
      <c r="N27" s="496"/>
      <c r="O27" s="496"/>
      <c r="P27" s="496"/>
      <c r="Q27" s="496"/>
      <c r="R27" s="496"/>
    </row>
    <row r="28" spans="2:18" x14ac:dyDescent="0.25">
      <c r="K28" s="496"/>
      <c r="L28" s="496"/>
      <c r="M28" s="496"/>
      <c r="N28" s="496"/>
      <c r="O28" s="496"/>
      <c r="P28" s="496"/>
      <c r="Q28" s="496"/>
      <c r="R28" s="496"/>
    </row>
    <row r="29" spans="2:18" ht="62.5" x14ac:dyDescent="0.25">
      <c r="B29" s="346"/>
      <c r="C29" s="347" t="s">
        <v>382</v>
      </c>
      <c r="D29" s="347" t="s">
        <v>381</v>
      </c>
      <c r="E29" s="20" t="s">
        <v>345</v>
      </c>
      <c r="F29" s="20" t="s">
        <v>383</v>
      </c>
      <c r="G29" s="20" t="s">
        <v>127</v>
      </c>
      <c r="H29" s="20" t="s">
        <v>384</v>
      </c>
      <c r="K29" s="496"/>
      <c r="L29" s="496"/>
      <c r="M29" s="496"/>
      <c r="N29" s="496"/>
      <c r="O29" s="496"/>
      <c r="P29" s="496"/>
      <c r="Q29" s="496"/>
      <c r="R29" s="496"/>
    </row>
    <row r="30" spans="2:18" x14ac:dyDescent="0.25">
      <c r="B30" s="346">
        <v>40544</v>
      </c>
      <c r="C30" s="284">
        <f>'Current version'!DC4</f>
        <v>-5.0125418235442863E-3</v>
      </c>
      <c r="E30" s="18">
        <f>'Current version'!DE4</f>
        <v>100</v>
      </c>
      <c r="H30" s="17">
        <f t="shared" ref="H30:H54" si="0">F30+G30</f>
        <v>0</v>
      </c>
    </row>
    <row r="31" spans="2:18" ht="13" x14ac:dyDescent="0.3">
      <c r="B31" s="346">
        <v>40558</v>
      </c>
      <c r="C31" s="284">
        <f>'Current version'!DC5</f>
        <v>2.0823662100919679E-2</v>
      </c>
      <c r="D31" s="284">
        <f>(LN('Current version'!BQ5/'Current version'!BQ4))/('Current version'!AZ5-'Current version'!AZ4)</f>
        <v>0</v>
      </c>
      <c r="E31" s="18">
        <f>'Current version'!DE5</f>
        <v>92.660083310629844</v>
      </c>
      <c r="F31" s="17">
        <f>'Current version'!BA5-'Current version'!BA4</f>
        <v>-7.3399166893701562</v>
      </c>
      <c r="G31" s="135">
        <f>'Current version'!DQ4</f>
        <v>0</v>
      </c>
      <c r="H31" s="17">
        <f t="shared" si="0"/>
        <v>-7.3399166893701562</v>
      </c>
    </row>
    <row r="32" spans="2:18" ht="13" x14ac:dyDescent="0.3">
      <c r="B32" s="346">
        <v>40575</v>
      </c>
      <c r="C32" s="284">
        <f>'Current version'!DC6</f>
        <v>2.2065264002602884E-2</v>
      </c>
      <c r="D32" s="284">
        <f>(LN('Current version'!BQ6/'Current version'!BQ5))/('Current version'!AZ6-'Current version'!AZ5)</f>
        <v>0</v>
      </c>
      <c r="E32" s="18">
        <f>'Current version'!DE6</f>
        <v>100.32108346182575</v>
      </c>
      <c r="F32" s="17">
        <f>'Current version'!BA6-'Current version'!BA5</f>
        <v>7.6610001511959069</v>
      </c>
      <c r="G32" s="135">
        <f>'Current version'!DQ5</f>
        <v>0</v>
      </c>
      <c r="H32" s="17">
        <f t="shared" si="0"/>
        <v>7.6610001511959069</v>
      </c>
    </row>
    <row r="33" spans="2:8" ht="13" x14ac:dyDescent="0.3">
      <c r="B33" s="346">
        <v>40589</v>
      </c>
      <c r="C33" s="284">
        <f>'Current version'!DC7</f>
        <v>2.7424563300131304E-2</v>
      </c>
      <c r="D33" s="284">
        <f>(LN('Current version'!BQ7/'Current version'!BQ6))/('Current version'!AZ7-'Current version'!AZ6)</f>
        <v>-9.5379566160373307E-3</v>
      </c>
      <c r="E33" s="18">
        <f>'Current version'!DE7</f>
        <v>124.42065763678137</v>
      </c>
      <c r="F33" s="17">
        <f>'Current version'!BA7-'Current version'!BA6</f>
        <v>24.09957417495562</v>
      </c>
      <c r="G33" s="135">
        <f>'Current version'!DQ6</f>
        <v>0</v>
      </c>
      <c r="H33" s="17">
        <f t="shared" si="0"/>
        <v>24.09957417495562</v>
      </c>
    </row>
    <row r="34" spans="2:8" ht="13" x14ac:dyDescent="0.3">
      <c r="B34" s="346">
        <v>40603</v>
      </c>
      <c r="C34" s="284">
        <f>'Current version'!DC8</f>
        <v>2.8476720762450163E-2</v>
      </c>
      <c r="D34" s="284">
        <f>(LN('Current version'!BQ8/'Current version'!BQ7))/('Current version'!AZ8-'Current version'!AZ7)</f>
        <v>0</v>
      </c>
      <c r="E34" s="18">
        <f>'Current version'!DE8</f>
        <v>158.6749522648</v>
      </c>
      <c r="F34" s="17">
        <f>'Current version'!BA8-'Current version'!BA7</f>
        <v>34.254294628018627</v>
      </c>
      <c r="G34" s="135">
        <f>'Current version'!DQ7</f>
        <v>0</v>
      </c>
      <c r="H34" s="17">
        <f t="shared" si="0"/>
        <v>34.254294628018627</v>
      </c>
    </row>
    <row r="35" spans="2:8" ht="13" x14ac:dyDescent="0.3">
      <c r="B35" s="346">
        <v>40617</v>
      </c>
      <c r="C35" s="284">
        <f>'Current version'!DC9</f>
        <v>3.6402394343779496E-2</v>
      </c>
      <c r="D35" s="284">
        <f>(LN('Current version'!BQ9/'Current version'!BQ8))/('Current version'!AZ9-'Current version'!AZ8)</f>
        <v>-1.1010762844804168E-2</v>
      </c>
      <c r="E35" s="18">
        <f>'Current version'!DE9</f>
        <v>207.31874147378301</v>
      </c>
      <c r="F35" s="17">
        <f>'Current version'!BA9-'Current version'!BA8</f>
        <v>48.643789208983009</v>
      </c>
      <c r="G35" s="135">
        <f>'Current version'!DQ8</f>
        <v>0</v>
      </c>
      <c r="H35" s="17">
        <f t="shared" si="0"/>
        <v>48.643789208983009</v>
      </c>
    </row>
    <row r="36" spans="2:8" ht="13" x14ac:dyDescent="0.3">
      <c r="B36" s="346">
        <v>40634</v>
      </c>
      <c r="C36" s="284">
        <f>'Current version'!DC10</f>
        <v>4.3981239026025083E-2</v>
      </c>
      <c r="D36" s="284">
        <f>(LN('Current version'!BQ10/'Current version'!BQ9))/('Current version'!AZ10-'Current version'!AZ9)</f>
        <v>0</v>
      </c>
      <c r="E36" s="18">
        <f>'Current version'!DE10</f>
        <v>290.81656510245006</v>
      </c>
      <c r="F36" s="17">
        <f>'Current version'!BA10-'Current version'!BA9</f>
        <v>83.497823628667049</v>
      </c>
      <c r="G36" s="135">
        <f>'Current version'!DQ9</f>
        <v>0</v>
      </c>
      <c r="H36" s="17">
        <f t="shared" si="0"/>
        <v>83.497823628667049</v>
      </c>
    </row>
    <row r="37" spans="2:8" ht="13" x14ac:dyDescent="0.3">
      <c r="B37" s="346">
        <v>40648</v>
      </c>
      <c r="C37" s="284">
        <f>'Current version'!DC11</f>
        <v>5.0137487941188122E-2</v>
      </c>
      <c r="D37" s="284">
        <f>(LN('Current version'!BQ11/'Current version'!BQ10))/('Current version'!AZ11-'Current version'!AZ10)</f>
        <v>2.054871946084149E-2</v>
      </c>
      <c r="E37" s="18">
        <f>'Current version'!DE11</f>
        <v>452.92362735867829</v>
      </c>
      <c r="F37" s="17">
        <f>'Current version'!BA11-'Current version'!BA10</f>
        <v>162.10706225622823</v>
      </c>
      <c r="G37" s="135">
        <f>'Current version'!DQ10</f>
        <v>0</v>
      </c>
      <c r="H37" s="17">
        <f t="shared" si="0"/>
        <v>162.10706225622823</v>
      </c>
    </row>
    <row r="38" spans="2:8" ht="13" x14ac:dyDescent="0.3">
      <c r="B38" s="346">
        <v>40664</v>
      </c>
      <c r="C38" s="284">
        <f>'Current version'!DC12</f>
        <v>4.7744972558208192E-2</v>
      </c>
      <c r="D38" s="284">
        <f>(LN('Current version'!BQ12/'Current version'!BQ11))/('Current version'!AZ12-'Current version'!AZ11)</f>
        <v>1.9903358194908412E-2</v>
      </c>
      <c r="E38" s="18">
        <f>'Current version'!DE12</f>
        <v>713.39264021710289</v>
      </c>
      <c r="F38" s="17">
        <f>'Current version'!BA12-'Current version'!BA11</f>
        <v>260.46901285842461</v>
      </c>
      <c r="G38" s="135">
        <f>'Current version'!DQ11</f>
        <v>0</v>
      </c>
      <c r="H38" s="17">
        <f t="shared" si="0"/>
        <v>260.46901285842461</v>
      </c>
    </row>
    <row r="39" spans="2:8" ht="13" x14ac:dyDescent="0.3">
      <c r="B39" s="346">
        <v>40678</v>
      </c>
      <c r="C39" s="284">
        <f>'Current version'!DC13</f>
        <v>4.4133181086709203E-2</v>
      </c>
      <c r="D39" s="284">
        <f>(LN('Current version'!BQ13/'Current version'!BQ12))/('Current version'!AZ13-'Current version'!AZ12)</f>
        <v>2.2153923450274247E-2</v>
      </c>
      <c r="E39" s="18">
        <f>'Current version'!DE13</f>
        <v>1110.8045936095737</v>
      </c>
      <c r="F39" s="17">
        <f>'Current version'!BA13-'Current version'!BA12</f>
        <v>397.41195339247076</v>
      </c>
      <c r="G39" s="135">
        <f>'Current version'!DQ12</f>
        <v>0</v>
      </c>
      <c r="H39" s="17">
        <f t="shared" si="0"/>
        <v>397.41195339247076</v>
      </c>
    </row>
    <row r="40" spans="2:8" ht="13" x14ac:dyDescent="0.3">
      <c r="B40" s="346">
        <v>40695</v>
      </c>
      <c r="C40" s="284">
        <f>'Current version'!DC14</f>
        <v>4.1151506862125681E-2</v>
      </c>
      <c r="D40" s="284">
        <f>(LN('Current version'!BQ14/'Current version'!BQ13))/('Current version'!AZ14-'Current version'!AZ13)</f>
        <v>1.3905222239072373E-2</v>
      </c>
      <c r="E40" s="18">
        <f>'Current version'!DE14</f>
        <v>1674.9196894065412</v>
      </c>
      <c r="F40" s="17">
        <f>'Current version'!BA14-'Current version'!BA13</f>
        <v>564.11509579696758</v>
      </c>
      <c r="G40" s="135">
        <f>'Current version'!DQ13</f>
        <v>0</v>
      </c>
      <c r="H40" s="17">
        <f t="shared" si="0"/>
        <v>564.11509579696758</v>
      </c>
    </row>
    <row r="41" spans="2:8" ht="13" x14ac:dyDescent="0.3">
      <c r="B41" s="346">
        <v>40709</v>
      </c>
      <c r="C41" s="284">
        <f>'Current version'!DC15</f>
        <v>3.8417783535677111E-2</v>
      </c>
      <c r="D41" s="284">
        <f>(LN('Current version'!BQ15/'Current version'!BQ14))/('Current version'!AZ15-'Current version'!AZ14)</f>
        <v>1.0471676727991102E-2</v>
      </c>
      <c r="E41" s="18">
        <f>'Current version'!DE15</f>
        <v>2452.4498287807787</v>
      </c>
      <c r="F41" s="17">
        <f>'Current version'!BA15-'Current version'!BA14</f>
        <v>777.53013937423748</v>
      </c>
      <c r="G41" s="135">
        <f>'Current version'!DQ14</f>
        <v>0</v>
      </c>
      <c r="H41" s="17">
        <f t="shared" si="0"/>
        <v>777.53013937423748</v>
      </c>
    </row>
    <row r="42" spans="2:8" ht="13" x14ac:dyDescent="0.3">
      <c r="B42" s="346">
        <v>40725</v>
      </c>
      <c r="C42" s="284">
        <f>'Current version'!DC16</f>
        <v>3.6550485105509289E-2</v>
      </c>
      <c r="D42" s="284">
        <f>(LN('Current version'!BQ16/'Current version'!BQ15))/('Current version'!AZ16-'Current version'!AZ15)</f>
        <v>5.4382110618518562E-3</v>
      </c>
      <c r="E42" s="18">
        <f>'Current version'!DE16</f>
        <v>3447.3164353810098</v>
      </c>
      <c r="F42" s="17">
        <f>'Current version'!BA16-'Current version'!BA15</f>
        <v>994.86660660023108</v>
      </c>
      <c r="G42" s="135">
        <f>'Current version'!DQ15</f>
        <v>0</v>
      </c>
      <c r="H42" s="17">
        <f t="shared" si="0"/>
        <v>994.86660660023108</v>
      </c>
    </row>
    <row r="43" spans="2:8" ht="13" x14ac:dyDescent="0.3">
      <c r="B43" s="346">
        <v>40739</v>
      </c>
      <c r="C43" s="284">
        <f>'Current version'!DC17</f>
        <v>3.4288038596705817E-2</v>
      </c>
      <c r="D43" s="284">
        <f>(LN('Current version'!BQ17/'Current version'!BQ16))/('Current version'!AZ17-'Current version'!AZ16)</f>
        <v>2.9158567514467998E-3</v>
      </c>
      <c r="E43" s="18">
        <f>'Current version'!DE17</f>
        <v>4732.0953322384485</v>
      </c>
      <c r="F43" s="17">
        <f>'Current version'!BA17-'Current version'!BA16</f>
        <v>1284.7788968574387</v>
      </c>
      <c r="G43" s="135">
        <f>'Current version'!DQ16</f>
        <v>0</v>
      </c>
      <c r="H43" s="17">
        <f t="shared" si="0"/>
        <v>1284.7788968574387</v>
      </c>
    </row>
    <row r="44" spans="2:8" ht="13" x14ac:dyDescent="0.3">
      <c r="B44" s="346">
        <v>40756</v>
      </c>
      <c r="C44" s="284">
        <f>'Current version'!DC18</f>
        <v>3.330132793971731E-2</v>
      </c>
      <c r="D44" s="284">
        <f>(LN('Current version'!BQ18/'Current version'!BQ17))/('Current version'!AZ18-'Current version'!AZ17)</f>
        <v>0</v>
      </c>
      <c r="E44" s="18">
        <f>'Current version'!DE18</f>
        <v>6273.0586853530467</v>
      </c>
      <c r="F44" s="17">
        <f>'Current version'!BA18-'Current version'!BA17</f>
        <v>1540.9633531145982</v>
      </c>
      <c r="G44" s="135">
        <f>'Current version'!DQ17</f>
        <v>0</v>
      </c>
      <c r="H44" s="17">
        <f t="shared" si="0"/>
        <v>1540.9633531145982</v>
      </c>
    </row>
    <row r="45" spans="2:8" ht="13" x14ac:dyDescent="0.3">
      <c r="B45" s="346">
        <v>40770</v>
      </c>
      <c r="C45" s="284">
        <f>'Current version'!DC19</f>
        <v>3.3393360995062071E-2</v>
      </c>
      <c r="D45" s="284">
        <f>(LN('Current version'!BQ19/'Current version'!BQ18))/('Current version'!AZ19-'Current version'!AZ18)</f>
        <v>-9.1309551078489204E-3</v>
      </c>
      <c r="E45" s="18">
        <f>'Current version'!DE19</f>
        <v>8204.7437386185684</v>
      </c>
      <c r="F45" s="17">
        <f>'Current version'!BA19-'Current version'!BA18</f>
        <v>1931.6850532655217</v>
      </c>
      <c r="G45" s="135">
        <f>'Current version'!DQ18</f>
        <v>0</v>
      </c>
      <c r="H45" s="17">
        <f t="shared" si="0"/>
        <v>1931.6850532655217</v>
      </c>
    </row>
    <row r="46" spans="2:8" ht="13" x14ac:dyDescent="0.3">
      <c r="B46" s="346">
        <v>40787</v>
      </c>
      <c r="C46" s="284">
        <f>'Current version'!DC20</f>
        <v>3.1720707594262161E-2</v>
      </c>
      <c r="D46" s="284">
        <f>(LN('Current version'!BQ20/'Current version'!BQ19))/('Current version'!AZ20-'Current version'!AZ19)</f>
        <v>-8.6237337759926692E-3</v>
      </c>
      <c r="E46" s="18">
        <f>'Current version'!DE20</f>
        <v>10381.700433624948</v>
      </c>
      <c r="F46" s="17">
        <f>'Current version'!BA20-'Current version'!BA19</f>
        <v>2176.95669500638</v>
      </c>
      <c r="G46" s="135">
        <f>'Current version'!DQ19</f>
        <v>0</v>
      </c>
      <c r="H46" s="17">
        <f t="shared" si="0"/>
        <v>2176.95669500638</v>
      </c>
    </row>
    <row r="47" spans="2:8" ht="13" x14ac:dyDescent="0.3">
      <c r="B47" s="346">
        <v>40801</v>
      </c>
      <c r="C47" s="284">
        <f>'Current version'!DC21</f>
        <v>3.4619745378949136E-2</v>
      </c>
      <c r="D47" s="284">
        <f>(LN('Current version'!BQ21/'Current version'!BQ20))/('Current version'!AZ21-'Current version'!AZ20)</f>
        <v>-1.2275018351904235E-2</v>
      </c>
      <c r="E47" s="18">
        <f>'Current version'!DE21</f>
        <v>12708.797970821079</v>
      </c>
      <c r="F47" s="17">
        <f>'Current version'!BA21-'Current version'!BA20</f>
        <v>2327.0975371961304</v>
      </c>
      <c r="G47" s="135">
        <f>'Current version'!DQ20</f>
        <v>0</v>
      </c>
      <c r="H47" s="17">
        <f t="shared" si="0"/>
        <v>2327.0975371961304</v>
      </c>
    </row>
    <row r="48" spans="2:8" ht="13" x14ac:dyDescent="0.3">
      <c r="B48" s="346">
        <v>40817</v>
      </c>
      <c r="C48" s="284">
        <f>'Current version'!DC22</f>
        <v>2.7959798763203321E-2</v>
      </c>
      <c r="D48" s="284">
        <f>(LN('Current version'!BQ22/'Current version'!BQ21))/('Current version'!AZ22-'Current version'!AZ21)</f>
        <v>-4.0336575710981986E-3</v>
      </c>
      <c r="E48" s="18">
        <f>'Current version'!DE22</f>
        <v>750.07183729033204</v>
      </c>
      <c r="F48" s="17">
        <f>'Current version'!BA22-'Current version'!BA21</f>
        <v>-11958.726133530747</v>
      </c>
      <c r="G48" s="135">
        <f>'Current version'!DQ21</f>
        <v>14251.364908516298</v>
      </c>
      <c r="H48" s="17">
        <f t="shared" si="0"/>
        <v>2292.6387749855512</v>
      </c>
    </row>
    <row r="49" spans="2:8" ht="13" x14ac:dyDescent="0.3">
      <c r="B49" s="346">
        <v>40831</v>
      </c>
      <c r="C49" s="284">
        <f>'Current version'!DC23</f>
        <v>2.2112452351758748E-2</v>
      </c>
      <c r="D49" s="284">
        <f>(LN('Current version'!BQ23/'Current version'!BQ22))/('Current version'!AZ23-'Current version'!AZ22)</f>
        <v>-1.5938825093872122E-2</v>
      </c>
      <c r="E49" s="18">
        <f>'Current version'!DE23</f>
        <v>885.99682272861855</v>
      </c>
      <c r="F49" s="17">
        <f>'Current version'!BA23-'Current version'!BA22</f>
        <v>135.92498543828651</v>
      </c>
      <c r="G49" s="135">
        <f>'Current version'!DQ22</f>
        <v>0</v>
      </c>
      <c r="H49" s="17">
        <f t="shared" si="0"/>
        <v>135.92498543828651</v>
      </c>
    </row>
    <row r="50" spans="2:8" ht="13" x14ac:dyDescent="0.3">
      <c r="B50" s="346">
        <v>40848</v>
      </c>
      <c r="C50" s="284">
        <f>'Current version'!DC24</f>
        <v>-5.0125418235442863E-3</v>
      </c>
      <c r="D50" s="284">
        <f>(LN('Current version'!BQ24/'Current version'!BQ23))/('Current version'!AZ24-'Current version'!AZ23)</f>
        <v>-1.6922474850104757E-2</v>
      </c>
      <c r="E50" s="18">
        <f>'Current version'!DE24</f>
        <v>918.38648299910312</v>
      </c>
      <c r="F50" s="17">
        <f>'Current version'!BA24-'Current version'!BA23</f>
        <v>32.389660270484569</v>
      </c>
      <c r="G50" s="135">
        <f>'Current version'!DQ23</f>
        <v>0</v>
      </c>
      <c r="H50" s="17">
        <f t="shared" si="0"/>
        <v>32.389660270484569</v>
      </c>
    </row>
    <row r="51" spans="2:8" ht="13" x14ac:dyDescent="0.3">
      <c r="B51" s="346">
        <v>40862</v>
      </c>
      <c r="C51" s="284">
        <f>'Current version'!DC25</f>
        <v>-5.0125418235442863E-3</v>
      </c>
      <c r="D51" s="284">
        <f>(LN('Current version'!BQ25/'Current version'!BQ24))/('Current version'!AZ25-'Current version'!AZ24)</f>
        <v>-4.0827438457106168E-3</v>
      </c>
      <c r="E51" s="18">
        <f>'Current version'!DE25</f>
        <v>625.16132746302333</v>
      </c>
      <c r="F51" s="17">
        <f>'Current version'!BA25-'Current version'!BA24</f>
        <v>-293.2251555360798</v>
      </c>
      <c r="G51" s="135">
        <f>'Current version'!DQ24</f>
        <v>0</v>
      </c>
      <c r="H51" s="17">
        <f t="shared" si="0"/>
        <v>-293.2251555360798</v>
      </c>
    </row>
    <row r="52" spans="2:8" ht="13" x14ac:dyDescent="0.3">
      <c r="B52" s="346">
        <v>40878</v>
      </c>
      <c r="C52" s="284">
        <f>'Current version'!DC26</f>
        <v>-5.0125418235442863E-3</v>
      </c>
      <c r="D52" s="284">
        <f>(LN('Current version'!BQ26/'Current version'!BQ25))/('Current version'!AZ26-'Current version'!AZ25)</f>
        <v>-1.8658101968550725E-3</v>
      </c>
      <c r="E52" s="18">
        <f>'Current version'!DE26</f>
        <v>557.19538900908242</v>
      </c>
      <c r="F52" s="17">
        <f>'Current version'!BA26-'Current version'!BA25</f>
        <v>-67.965938453940907</v>
      </c>
      <c r="G52" s="135">
        <f>'Current version'!DQ25</f>
        <v>0</v>
      </c>
      <c r="H52" s="17">
        <f t="shared" si="0"/>
        <v>-67.965938453940907</v>
      </c>
    </row>
    <row r="53" spans="2:8" ht="13" x14ac:dyDescent="0.3">
      <c r="B53" s="346">
        <v>40892</v>
      </c>
      <c r="C53" s="284">
        <f>'Current version'!DC27</f>
        <v>-5.0125418235442863E-3</v>
      </c>
      <c r="D53" s="284">
        <f>(LN('Current version'!BQ27/'Current version'!BQ26))/('Current version'!AZ27-'Current version'!AZ26)</f>
        <v>-2.197975619053833E-3</v>
      </c>
      <c r="E53" s="18">
        <f>'Current version'!DE27</f>
        <v>506.15301983702579</v>
      </c>
      <c r="F53" s="17">
        <f>'Current version'!BA27-'Current version'!BA26</f>
        <v>-51.042369172056624</v>
      </c>
      <c r="G53" s="135">
        <f>'Current version'!DQ26</f>
        <v>0</v>
      </c>
      <c r="H53" s="17">
        <f t="shared" si="0"/>
        <v>-51.042369172056624</v>
      </c>
    </row>
    <row r="54" spans="2:8" ht="13" x14ac:dyDescent="0.3">
      <c r="B54" s="346">
        <v>40908</v>
      </c>
      <c r="C54" s="284">
        <f>'Current version'!DC28</f>
        <v>-5.0125418235442863E-3</v>
      </c>
      <c r="D54" s="284">
        <f>(LN('Current version'!BQ28/'Current version'!BQ27))/('Current version'!AZ28-'Current version'!AZ27)</f>
        <v>0</v>
      </c>
      <c r="E54" s="18">
        <f>'Current version'!DE28</f>
        <v>459.49845079557696</v>
      </c>
      <c r="F54" s="17">
        <f>'Current version'!BA28-'Current version'!BA27</f>
        <v>-46.654569041448838</v>
      </c>
      <c r="G54" s="135">
        <f>'Current version'!DQ27</f>
        <v>0</v>
      </c>
      <c r="H54" s="17">
        <f t="shared" si="0"/>
        <v>-46.654569041448838</v>
      </c>
    </row>
  </sheetData>
  <sheetProtection password="CF27" sheet="1" objects="1" scenarios="1"/>
  <mergeCells count="1">
    <mergeCell ref="K23:R2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10"/>
  <sheetViews>
    <sheetView topLeftCell="A12" workbookViewId="0">
      <selection activeCell="L37" sqref="L37"/>
    </sheetView>
  </sheetViews>
  <sheetFormatPr defaultRowHeight="12.5" x14ac:dyDescent="0.25"/>
  <sheetData>
    <row r="8" spans="2:2" x14ac:dyDescent="0.25">
      <c r="B8" s="8"/>
    </row>
    <row r="9" spans="2:2" x14ac:dyDescent="0.25">
      <c r="B9" s="8"/>
    </row>
    <row r="10" spans="2:2" x14ac:dyDescent="0.25">
      <c r="B10" s="8"/>
    </row>
  </sheetData>
  <sheetProtection password="CF27" sheet="1" objects="1" scenarios="1"/>
  <customSheetViews>
    <customSheetView guid="{C5ECCA7E-81F6-46F5-BEA0-A5F2DAD22AC9}" topLeftCell="A12">
      <selection activeCell="L37" sqref="L37"/>
      <pageMargins left="0.7" right="0.7" top="0.75" bottom="0.75" header="0.3" footer="0.3"/>
      <pageSetup orientation="portrait" horizontalDpi="0" verticalDpi="0" r:id="rId1"/>
    </customSheetView>
    <customSheetView guid="{40D14490-07BB-46F3-8435-9C462BE853EE}" topLeftCell="A12">
      <selection activeCell="L37" sqref="L37"/>
      <pageMargins left="0.7" right="0.7" top="0.75" bottom="0.75" header="0.3" footer="0.3"/>
      <pageSetup orientation="portrait" horizontalDpi="0" verticalDpi="0" r:id="rId2"/>
    </customSheetView>
  </customSheetViews>
  <pageMargins left="0.7" right="0.7" top="0.75" bottom="0.75" header="0.3" footer="0.3"/>
  <pageSetup orientation="portrait" horizontalDpi="0" verticalDpi="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AA127"/>
  <sheetViews>
    <sheetView zoomScale="90" zoomScaleNormal="90" workbookViewId="0">
      <selection activeCell="AO25" sqref="AO25"/>
    </sheetView>
  </sheetViews>
  <sheetFormatPr defaultRowHeight="12.5" x14ac:dyDescent="0.25"/>
  <cols>
    <col min="1" max="1" width="16.81640625" customWidth="1"/>
    <col min="5" max="5" width="10.81640625" customWidth="1"/>
    <col min="6" max="6" width="16.54296875" customWidth="1"/>
    <col min="10" max="10" width="10.81640625" customWidth="1"/>
  </cols>
  <sheetData>
    <row r="1" spans="1:27" x14ac:dyDescent="0.25">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row>
    <row r="2" spans="1:27" x14ac:dyDescent="0.25">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row>
    <row r="3" spans="1:27" x14ac:dyDescent="0.25">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127"/>
      <c r="AA3" s="127"/>
    </row>
    <row r="4" spans="1:27" x14ac:dyDescent="0.25">
      <c r="A4" s="127"/>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row>
    <row r="5" spans="1:27" x14ac:dyDescent="0.25">
      <c r="A5" s="127"/>
      <c r="B5" s="127"/>
      <c r="C5" s="127"/>
      <c r="D5" s="127"/>
      <c r="E5" s="127"/>
      <c r="F5" s="127"/>
      <c r="G5" s="127"/>
      <c r="H5" s="127"/>
      <c r="I5" s="127"/>
      <c r="J5" s="127"/>
      <c r="K5" s="127"/>
      <c r="L5" s="127"/>
      <c r="M5" s="127"/>
      <c r="N5" s="127"/>
      <c r="O5" s="127"/>
      <c r="P5" s="127"/>
      <c r="Q5" s="127"/>
      <c r="R5" s="127"/>
      <c r="S5" s="127"/>
      <c r="T5" s="127"/>
      <c r="U5" s="127"/>
      <c r="V5" s="127"/>
      <c r="W5" s="127"/>
      <c r="X5" s="127"/>
      <c r="Y5" s="127"/>
      <c r="Z5" s="127"/>
      <c r="AA5" s="127"/>
    </row>
    <row r="6" spans="1:27" x14ac:dyDescent="0.25">
      <c r="A6" s="127"/>
      <c r="B6" s="127"/>
      <c r="C6" s="127"/>
      <c r="D6" s="127"/>
      <c r="E6" s="127"/>
      <c r="F6" s="127"/>
      <c r="G6" s="127"/>
      <c r="H6" s="127"/>
      <c r="I6" s="127"/>
      <c r="J6" s="127"/>
      <c r="K6" s="127"/>
      <c r="L6" s="127"/>
      <c r="M6" s="127"/>
      <c r="N6" s="127"/>
      <c r="O6" s="127"/>
      <c r="P6" s="127"/>
      <c r="Q6" s="127"/>
      <c r="R6" s="127"/>
      <c r="S6" s="127"/>
      <c r="T6" s="127"/>
      <c r="U6" s="127"/>
      <c r="V6" s="127"/>
      <c r="W6" s="127"/>
      <c r="X6" s="127"/>
      <c r="Y6" s="127"/>
      <c r="Z6" s="127"/>
      <c r="AA6" s="127"/>
    </row>
    <row r="7" spans="1:27" x14ac:dyDescent="0.25">
      <c r="A7" s="127"/>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row>
    <row r="8" spans="1:27" x14ac:dyDescent="0.25">
      <c r="A8" s="127"/>
      <c r="B8" s="127"/>
      <c r="C8" s="127"/>
      <c r="D8" s="127"/>
      <c r="E8" s="127"/>
      <c r="F8" s="127"/>
      <c r="G8" s="127"/>
      <c r="H8" s="127"/>
      <c r="I8" s="127"/>
      <c r="J8" s="127"/>
      <c r="K8" s="127"/>
      <c r="L8" s="127"/>
      <c r="M8" s="127"/>
      <c r="N8" s="127"/>
      <c r="O8" s="127"/>
      <c r="P8" s="127"/>
      <c r="Q8" s="127"/>
      <c r="R8" s="127"/>
      <c r="S8" s="127"/>
      <c r="T8" s="127"/>
      <c r="U8" s="127"/>
      <c r="V8" s="127"/>
      <c r="W8" s="127"/>
      <c r="X8" s="127"/>
      <c r="Y8" s="127"/>
      <c r="Z8" s="127"/>
      <c r="AA8" s="127"/>
    </row>
    <row r="9" spans="1:27"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row>
    <row r="10" spans="1:27" x14ac:dyDescent="0.25">
      <c r="A10" s="127"/>
      <c r="B10" s="127"/>
      <c r="C10" s="127"/>
      <c r="D10" s="127"/>
      <c r="E10" s="127"/>
      <c r="F10" s="182" t="s">
        <v>171</v>
      </c>
      <c r="G10" s="127"/>
      <c r="H10" s="127"/>
      <c r="I10" s="127"/>
      <c r="J10" s="127"/>
      <c r="K10" s="127"/>
      <c r="L10" s="127"/>
      <c r="M10" s="127"/>
      <c r="N10" s="127"/>
      <c r="O10" s="127"/>
      <c r="P10" s="127"/>
      <c r="Q10" s="127"/>
      <c r="R10" s="127"/>
      <c r="S10" s="127"/>
      <c r="T10" s="127"/>
      <c r="U10" s="127"/>
      <c r="V10" s="127"/>
      <c r="W10" s="127"/>
      <c r="X10" s="127"/>
      <c r="Y10" s="127"/>
      <c r="Z10" s="127"/>
      <c r="AA10" s="127"/>
    </row>
    <row r="11" spans="1:27" s="159" customFormat="1" ht="12.75" customHeight="1" x14ac:dyDescent="0.25">
      <c r="A11" s="598" t="s">
        <v>174</v>
      </c>
      <c r="B11" s="598"/>
      <c r="C11" s="153">
        <v>2.1999999999999999E-2</v>
      </c>
      <c r="D11" s="176" t="s">
        <v>167</v>
      </c>
      <c r="E11" s="219"/>
      <c r="F11" s="220">
        <v>2.1000000000000001E-2</v>
      </c>
      <c r="G11" s="219"/>
      <c r="H11" s="219"/>
      <c r="I11" s="219"/>
      <c r="J11" s="219"/>
      <c r="K11" s="219"/>
      <c r="L11" s="219"/>
      <c r="M11" s="219"/>
      <c r="N11" s="219"/>
      <c r="O11" s="219"/>
      <c r="P11" s="219"/>
      <c r="Q11" s="219"/>
      <c r="R11" s="219"/>
      <c r="S11" s="219"/>
      <c r="T11" s="219"/>
      <c r="U11" s="219"/>
      <c r="V11" s="219"/>
      <c r="W11" s="219"/>
      <c r="X11" s="219"/>
      <c r="Y11" s="219"/>
      <c r="Z11" s="219"/>
      <c r="AA11" s="219"/>
    </row>
    <row r="12" spans="1:27" x14ac:dyDescent="0.25">
      <c r="A12" s="598"/>
      <c r="B12" s="598"/>
      <c r="C12" s="160">
        <v>5.0000000000000001E-3</v>
      </c>
      <c r="D12" s="221" t="s">
        <v>165</v>
      </c>
      <c r="E12" s="127"/>
      <c r="F12" s="182">
        <v>5.0000000000000001E-3</v>
      </c>
      <c r="G12" s="127"/>
      <c r="H12" s="127"/>
      <c r="I12" s="127"/>
      <c r="J12" s="127"/>
      <c r="K12" s="127"/>
      <c r="L12" s="127"/>
      <c r="M12" s="127"/>
      <c r="N12" s="127"/>
      <c r="O12" s="127"/>
      <c r="P12" s="127"/>
      <c r="Q12" s="127"/>
      <c r="R12" s="127"/>
      <c r="S12" s="127"/>
      <c r="T12" s="127"/>
      <c r="U12" s="127"/>
      <c r="V12" s="127"/>
      <c r="W12" s="127"/>
      <c r="X12" s="127"/>
      <c r="Y12" s="127"/>
      <c r="Z12" s="127"/>
      <c r="AA12" s="127"/>
    </row>
    <row r="13" spans="1:27" x14ac:dyDescent="0.25">
      <c r="A13" s="598"/>
      <c r="B13" s="598"/>
      <c r="C13" s="230">
        <f>LN(1-C12)</f>
        <v>-5.0125418235442863E-3</v>
      </c>
      <c r="D13" s="127" t="s">
        <v>166</v>
      </c>
      <c r="E13" s="127"/>
      <c r="F13" s="222">
        <f>LN(1-F12)</f>
        <v>-5.0125418235442863E-3</v>
      </c>
      <c r="G13" s="127"/>
      <c r="H13" s="127"/>
      <c r="I13" s="127"/>
      <c r="J13" s="127"/>
      <c r="K13" s="127"/>
      <c r="L13" s="127"/>
      <c r="M13" s="127"/>
      <c r="N13" s="127"/>
      <c r="O13" s="127"/>
      <c r="P13" s="127"/>
      <c r="Q13" s="127"/>
      <c r="R13" s="127"/>
      <c r="S13" s="127"/>
      <c r="T13" s="127"/>
      <c r="U13" s="127"/>
      <c r="V13" s="127"/>
      <c r="W13" s="127"/>
      <c r="X13" s="127"/>
      <c r="Y13" s="127"/>
      <c r="Z13" s="127"/>
      <c r="AA13" s="127"/>
    </row>
    <row r="14" spans="1:27" x14ac:dyDescent="0.25">
      <c r="A14" s="598"/>
      <c r="B14" s="598"/>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row>
    <row r="15" spans="1:27" x14ac:dyDescent="0.25">
      <c r="A15" s="598"/>
      <c r="B15" s="598"/>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row>
    <row r="16" spans="1:27" x14ac:dyDescent="0.25">
      <c r="A16" s="598"/>
      <c r="B16" s="598"/>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row>
    <row r="17" spans="1:27" ht="37.5" x14ac:dyDescent="0.25">
      <c r="A17" s="127"/>
      <c r="B17" s="127"/>
      <c r="C17" s="175" t="s">
        <v>170</v>
      </c>
      <c r="D17" s="175" t="s">
        <v>168</v>
      </c>
      <c r="E17" s="223" t="s">
        <v>169</v>
      </c>
      <c r="F17" s="223" t="s">
        <v>188</v>
      </c>
      <c r="G17" s="127"/>
      <c r="H17" s="127"/>
      <c r="I17" s="127"/>
      <c r="J17" s="127"/>
      <c r="K17" s="127"/>
      <c r="L17" s="127"/>
      <c r="M17" s="127"/>
      <c r="N17" s="127"/>
      <c r="O17" s="127"/>
      <c r="P17" s="127"/>
      <c r="Q17" s="127"/>
      <c r="R17" s="127"/>
      <c r="S17" s="127"/>
      <c r="T17" s="127"/>
      <c r="U17" s="127"/>
      <c r="V17" s="127"/>
      <c r="W17" s="127"/>
      <c r="X17" s="127"/>
      <c r="Y17" s="127"/>
      <c r="Z17" s="127"/>
      <c r="AA17" s="127"/>
    </row>
    <row r="18" spans="1:27" ht="13" x14ac:dyDescent="0.3">
      <c r="A18" s="127"/>
      <c r="B18" s="127"/>
      <c r="C18" s="127">
        <v>0</v>
      </c>
      <c r="D18" s="127"/>
      <c r="E18" s="127"/>
      <c r="F18" s="179">
        <v>1</v>
      </c>
      <c r="G18" s="127">
        <v>1</v>
      </c>
      <c r="H18" s="224"/>
      <c r="I18" s="224"/>
      <c r="J18" s="127"/>
      <c r="K18" s="127"/>
      <c r="L18" s="127"/>
      <c r="M18" s="127"/>
      <c r="N18" s="127"/>
      <c r="O18" s="127"/>
      <c r="P18" s="127"/>
      <c r="Q18" s="127"/>
      <c r="R18" s="127"/>
      <c r="S18" s="127"/>
      <c r="T18" s="127"/>
      <c r="U18" s="127"/>
      <c r="V18" s="127"/>
      <c r="W18" s="127"/>
      <c r="X18" s="127"/>
      <c r="Y18" s="127"/>
      <c r="Z18" s="127"/>
      <c r="AA18" s="127"/>
    </row>
    <row r="19" spans="1:27" ht="13" x14ac:dyDescent="0.3">
      <c r="A19" s="127"/>
      <c r="B19" s="127"/>
      <c r="C19" s="127">
        <v>1</v>
      </c>
      <c r="D19" s="225">
        <f t="shared" ref="D19:D30" si="0">IF(C19&lt;($J$34+1),$C$11,$C$13)</f>
        <v>2.1999999999999999E-2</v>
      </c>
      <c r="E19" s="125"/>
      <c r="F19" s="226">
        <f>(F18-(F18*E19))*EXP(D19*30)</f>
        <v>1.9347923344020315</v>
      </c>
      <c r="G19" s="127">
        <v>1</v>
      </c>
      <c r="H19" s="224"/>
      <c r="I19" s="224"/>
      <c r="J19" s="127"/>
      <c r="K19" s="127"/>
      <c r="L19" s="127"/>
      <c r="M19" s="127"/>
      <c r="N19" s="127"/>
      <c r="O19" s="127"/>
      <c r="P19" s="127"/>
      <c r="Q19" s="127"/>
      <c r="R19" s="127"/>
      <c r="S19" s="127"/>
      <c r="T19" s="127"/>
      <c r="U19" s="127"/>
      <c r="V19" s="127"/>
      <c r="W19" s="127"/>
      <c r="X19" s="127"/>
      <c r="Y19" s="127"/>
      <c r="Z19" s="127"/>
      <c r="AA19" s="127"/>
    </row>
    <row r="20" spans="1:27" ht="13" x14ac:dyDescent="0.3">
      <c r="A20" s="127"/>
      <c r="B20" s="127"/>
      <c r="C20" s="127">
        <v>2</v>
      </c>
      <c r="D20" s="225">
        <f t="shared" si="0"/>
        <v>2.1999999999999999E-2</v>
      </c>
      <c r="E20" s="125"/>
      <c r="F20" s="226">
        <f>(F19-(F19*E20))*EXP(D20*30)</f>
        <v>3.7434213772608622</v>
      </c>
      <c r="G20" s="127">
        <v>1</v>
      </c>
      <c r="H20" s="224"/>
      <c r="I20" s="224"/>
      <c r="J20" s="127"/>
      <c r="K20" s="127"/>
      <c r="L20" s="127"/>
      <c r="M20" s="127"/>
      <c r="N20" s="127"/>
      <c r="O20" s="127"/>
      <c r="P20" s="127"/>
      <c r="Q20" s="127"/>
      <c r="R20" s="127"/>
      <c r="S20" s="127"/>
      <c r="T20" s="127"/>
      <c r="U20" s="127"/>
      <c r="V20" s="127"/>
      <c r="W20" s="127"/>
      <c r="X20" s="127"/>
      <c r="Y20" s="127"/>
      <c r="Z20" s="127"/>
      <c r="AA20" s="127"/>
    </row>
    <row r="21" spans="1:27" ht="13" x14ac:dyDescent="0.3">
      <c r="A21" s="127"/>
      <c r="B21" s="127"/>
      <c r="C21" s="127">
        <v>3</v>
      </c>
      <c r="D21" s="225">
        <f t="shared" si="0"/>
        <v>2.1999999999999999E-2</v>
      </c>
      <c r="E21" s="125"/>
      <c r="F21" s="226">
        <f>(F20-(F20*E21))*EXP(D21*30)</f>
        <v>7.2427429851610112</v>
      </c>
      <c r="G21" s="127">
        <v>1</v>
      </c>
      <c r="H21" s="224"/>
      <c r="I21" s="224"/>
      <c r="J21" s="127"/>
      <c r="K21" s="127"/>
      <c r="L21" s="127"/>
      <c r="M21" s="127"/>
      <c r="N21" s="127"/>
      <c r="O21" s="127"/>
      <c r="P21" s="127"/>
      <c r="Q21" s="127"/>
      <c r="R21" s="127"/>
      <c r="S21" s="127"/>
      <c r="T21" s="127"/>
      <c r="U21" s="127"/>
      <c r="V21" s="127"/>
      <c r="W21" s="127"/>
      <c r="X21" s="127"/>
      <c r="Y21" s="127"/>
      <c r="Z21" s="127"/>
      <c r="AA21" s="127"/>
    </row>
    <row r="22" spans="1:27" ht="13" x14ac:dyDescent="0.3">
      <c r="A22" s="127"/>
      <c r="B22" s="127"/>
      <c r="C22" s="127">
        <v>4</v>
      </c>
      <c r="D22" s="225">
        <f t="shared" si="0"/>
        <v>2.1999999999999999E-2</v>
      </c>
      <c r="E22" s="125"/>
      <c r="F22" s="226">
        <f t="shared" ref="F22:F30" si="1">(F21-(F21*E22))*EXP(D22*30)</f>
        <v>14.013203607733612</v>
      </c>
      <c r="G22" s="127">
        <v>1</v>
      </c>
      <c r="H22" s="224"/>
      <c r="I22" s="224"/>
      <c r="J22" s="127"/>
      <c r="K22" s="127"/>
      <c r="L22" s="127"/>
      <c r="M22" s="127"/>
      <c r="N22" s="127"/>
      <c r="O22" s="127"/>
      <c r="P22" s="127"/>
      <c r="Q22" s="127"/>
      <c r="R22" s="127"/>
      <c r="S22" s="127"/>
      <c r="T22" s="127"/>
      <c r="U22" s="127"/>
      <c r="V22" s="127"/>
      <c r="W22" s="127"/>
      <c r="X22" s="127"/>
      <c r="Y22" s="127"/>
      <c r="Z22" s="127"/>
      <c r="AA22" s="127"/>
    </row>
    <row r="23" spans="1:27" ht="13" x14ac:dyDescent="0.3">
      <c r="A23" s="127"/>
      <c r="B23" s="127"/>
      <c r="C23" s="127">
        <v>5</v>
      </c>
      <c r="D23" s="225">
        <f t="shared" si="0"/>
        <v>2.1999999999999999E-2</v>
      </c>
      <c r="E23" s="125"/>
      <c r="F23" s="226">
        <f t="shared" si="1"/>
        <v>27.112638920657883</v>
      </c>
      <c r="G23" s="127">
        <v>1</v>
      </c>
      <c r="H23" s="224"/>
      <c r="I23" s="224"/>
      <c r="J23" s="127"/>
      <c r="K23" s="127"/>
      <c r="L23" s="127"/>
      <c r="M23" s="127"/>
      <c r="N23" s="127"/>
      <c r="O23" s="127"/>
      <c r="P23" s="127"/>
      <c r="Q23" s="127"/>
      <c r="R23" s="127"/>
      <c r="S23" s="127"/>
      <c r="T23" s="127"/>
      <c r="U23" s="127"/>
      <c r="V23" s="127"/>
      <c r="W23" s="127"/>
      <c r="X23" s="127"/>
      <c r="Y23" s="127"/>
      <c r="Z23" s="127"/>
      <c r="AA23" s="127"/>
    </row>
    <row r="24" spans="1:27" ht="13" x14ac:dyDescent="0.3">
      <c r="A24" s="127"/>
      <c r="B24" s="127"/>
      <c r="C24" s="127">
        <v>6</v>
      </c>
      <c r="D24" s="225">
        <f t="shared" si="0"/>
        <v>2.1999999999999999E-2</v>
      </c>
      <c r="E24" s="125"/>
      <c r="F24" s="226">
        <f t="shared" si="1"/>
        <v>52.457325949099037</v>
      </c>
      <c r="G24" s="127">
        <v>1</v>
      </c>
      <c r="H24" s="224"/>
      <c r="I24" s="224"/>
      <c r="J24" s="127"/>
      <c r="K24" s="127"/>
      <c r="L24" s="127"/>
      <c r="M24" s="127"/>
      <c r="N24" s="127"/>
      <c r="O24" s="127"/>
      <c r="P24" s="127"/>
      <c r="Q24" s="127"/>
      <c r="R24" s="127"/>
      <c r="S24" s="127"/>
      <c r="T24" s="127"/>
      <c r="U24" s="127"/>
      <c r="V24" s="127"/>
      <c r="W24" s="127"/>
      <c r="X24" s="127"/>
      <c r="Y24" s="127"/>
      <c r="Z24" s="127"/>
      <c r="AA24" s="127"/>
    </row>
    <row r="25" spans="1:27" ht="13" x14ac:dyDescent="0.3">
      <c r="A25" s="127"/>
      <c r="B25" s="127"/>
      <c r="C25" s="127">
        <v>7</v>
      </c>
      <c r="D25" s="225">
        <f t="shared" si="0"/>
        <v>2.1999999999999999E-2</v>
      </c>
      <c r="E25" s="125"/>
      <c r="F25" s="226">
        <f t="shared" si="1"/>
        <v>101.49403212954559</v>
      </c>
      <c r="G25" s="127">
        <v>1</v>
      </c>
      <c r="H25" s="224"/>
      <c r="I25" s="224"/>
      <c r="J25" s="127"/>
      <c r="K25" s="127"/>
      <c r="L25" s="127"/>
      <c r="M25" s="127"/>
      <c r="N25" s="127"/>
      <c r="O25" s="127"/>
      <c r="P25" s="127"/>
      <c r="Q25" s="127"/>
      <c r="R25" s="127"/>
      <c r="S25" s="127"/>
      <c r="T25" s="127"/>
      <c r="U25" s="127"/>
      <c r="V25" s="127"/>
      <c r="W25" s="127"/>
      <c r="X25" s="127"/>
      <c r="Y25" s="127"/>
      <c r="Z25" s="127"/>
      <c r="AA25" s="127"/>
    </row>
    <row r="26" spans="1:27" ht="13" x14ac:dyDescent="0.3">
      <c r="A26" s="127"/>
      <c r="B26" s="127"/>
      <c r="C26" s="127">
        <v>8</v>
      </c>
      <c r="D26" s="225">
        <f t="shared" si="0"/>
        <v>-5.0125418235442863E-3</v>
      </c>
      <c r="E26" s="125"/>
      <c r="F26" s="226">
        <f t="shared" si="1"/>
        <v>87.323860817943284</v>
      </c>
      <c r="G26" s="127">
        <v>1</v>
      </c>
      <c r="H26" s="224"/>
      <c r="I26" s="224"/>
      <c r="J26" s="127"/>
      <c r="K26" s="127"/>
      <c r="L26" s="127"/>
      <c r="M26" s="127"/>
      <c r="N26" s="127"/>
      <c r="O26" s="127"/>
      <c r="P26" s="127"/>
      <c r="Q26" s="127"/>
      <c r="R26" s="127"/>
      <c r="S26" s="127"/>
      <c r="T26" s="127"/>
      <c r="U26" s="127"/>
      <c r="V26" s="127"/>
      <c r="W26" s="127"/>
      <c r="X26" s="127"/>
      <c r="Y26" s="127"/>
      <c r="Z26" s="127"/>
      <c r="AA26" s="127"/>
    </row>
    <row r="27" spans="1:27" ht="13" x14ac:dyDescent="0.3">
      <c r="A27" s="127"/>
      <c r="B27" s="127"/>
      <c r="C27" s="127">
        <v>9</v>
      </c>
      <c r="D27" s="225">
        <f t="shared" si="0"/>
        <v>-5.0125418235442863E-3</v>
      </c>
      <c r="E27" s="125"/>
      <c r="F27" s="226">
        <f t="shared" si="1"/>
        <v>75.132069424717528</v>
      </c>
      <c r="G27" s="127">
        <v>1</v>
      </c>
      <c r="H27" s="224"/>
      <c r="I27" s="224"/>
      <c r="J27" s="127"/>
      <c r="K27" s="127"/>
      <c r="L27" s="127"/>
      <c r="M27" s="127"/>
      <c r="N27" s="127"/>
      <c r="O27" s="127"/>
      <c r="P27" s="127"/>
      <c r="Q27" s="127"/>
      <c r="R27" s="127"/>
      <c r="S27" s="127"/>
      <c r="T27" s="127"/>
      <c r="U27" s="127"/>
      <c r="V27" s="127"/>
      <c r="W27" s="127"/>
      <c r="X27" s="127"/>
      <c r="Y27" s="127"/>
      <c r="Z27" s="127"/>
      <c r="AA27" s="127"/>
    </row>
    <row r="28" spans="1:27" ht="13" x14ac:dyDescent="0.3">
      <c r="A28" s="127"/>
      <c r="B28" s="127"/>
      <c r="C28" s="127">
        <v>10</v>
      </c>
      <c r="D28" s="225">
        <f t="shared" si="0"/>
        <v>-5.0125418235442863E-3</v>
      </c>
      <c r="E28" s="125"/>
      <c r="F28" s="226">
        <f>(F27-(F27*E28))*EXP(D28*30)</f>
        <v>64.642444838864435</v>
      </c>
      <c r="G28" s="127">
        <v>1</v>
      </c>
      <c r="H28" s="224"/>
      <c r="I28" s="224"/>
      <c r="J28" s="127"/>
      <c r="K28" s="127"/>
      <c r="L28" s="127"/>
      <c r="M28" s="127"/>
      <c r="N28" s="127"/>
      <c r="O28" s="127"/>
      <c r="P28" s="127"/>
      <c r="Q28" s="127"/>
      <c r="R28" s="127"/>
      <c r="S28" s="127"/>
      <c r="T28" s="127"/>
      <c r="U28" s="127"/>
      <c r="V28" s="127"/>
      <c r="W28" s="127"/>
      <c r="X28" s="127"/>
      <c r="Y28" s="127"/>
      <c r="Z28" s="127"/>
      <c r="AA28" s="127"/>
    </row>
    <row r="29" spans="1:27" ht="13.5" thickBot="1" x14ac:dyDescent="0.35">
      <c r="A29" s="127"/>
      <c r="B29" s="127"/>
      <c r="C29" s="127">
        <v>11</v>
      </c>
      <c r="D29" s="225">
        <f t="shared" si="0"/>
        <v>-5.0125418235442863E-3</v>
      </c>
      <c r="E29" s="125"/>
      <c r="F29" s="227">
        <f t="shared" si="1"/>
        <v>55.617337666076693</v>
      </c>
      <c r="G29" s="127">
        <v>1</v>
      </c>
      <c r="H29" s="224"/>
      <c r="I29" s="224"/>
      <c r="J29" s="127"/>
      <c r="K29" s="127"/>
      <c r="L29" s="127"/>
      <c r="M29" s="127"/>
      <c r="N29" s="127"/>
      <c r="O29" s="127"/>
      <c r="P29" s="127"/>
      <c r="Q29" s="127"/>
      <c r="R29" s="127"/>
      <c r="S29" s="127"/>
      <c r="T29" s="127"/>
      <c r="U29" s="127"/>
      <c r="V29" s="127"/>
      <c r="W29" s="127"/>
      <c r="X29" s="127"/>
      <c r="Y29" s="127"/>
      <c r="Z29" s="127"/>
      <c r="AA29" s="127"/>
    </row>
    <row r="30" spans="1:27" ht="14" thickTop="1" thickBot="1" x14ac:dyDescent="0.35">
      <c r="A30" s="127"/>
      <c r="B30" s="127"/>
      <c r="C30" s="127">
        <v>12</v>
      </c>
      <c r="D30" s="225">
        <f t="shared" si="0"/>
        <v>-5.0125418235442863E-3</v>
      </c>
      <c r="E30" s="173"/>
      <c r="F30" s="228">
        <f t="shared" si="1"/>
        <v>47.852278124274186</v>
      </c>
      <c r="G30" s="229">
        <v>1</v>
      </c>
      <c r="H30" s="224"/>
      <c r="I30" s="224"/>
      <c r="J30" s="127"/>
      <c r="K30" s="127"/>
      <c r="L30" s="127"/>
      <c r="M30" s="127"/>
      <c r="N30" s="127"/>
      <c r="O30" s="127"/>
      <c r="P30" s="127"/>
      <c r="Q30" s="127"/>
      <c r="R30" s="127"/>
      <c r="S30" s="127"/>
      <c r="T30" s="127"/>
      <c r="U30" s="127"/>
      <c r="V30" s="127"/>
      <c r="W30" s="127"/>
      <c r="X30" s="127"/>
      <c r="Y30" s="127"/>
      <c r="Z30" s="127"/>
      <c r="AA30" s="127"/>
    </row>
    <row r="31" spans="1:27" ht="12.65" customHeight="1" thickTop="1" x14ac:dyDescent="0.25">
      <c r="A31" s="127"/>
      <c r="B31" s="127"/>
      <c r="C31" s="127"/>
      <c r="D31" s="127"/>
      <c r="E31" s="594" t="s">
        <v>172</v>
      </c>
      <c r="F31" s="599" t="s">
        <v>189</v>
      </c>
      <c r="G31" s="127"/>
      <c r="H31" s="127"/>
      <c r="I31" s="127"/>
      <c r="J31" s="127"/>
      <c r="K31" s="127"/>
      <c r="L31" s="127"/>
      <c r="M31" s="127"/>
      <c r="N31" s="127"/>
      <c r="O31" s="127"/>
      <c r="P31" s="127"/>
      <c r="Q31" s="127"/>
      <c r="R31" s="127"/>
      <c r="S31" s="127"/>
      <c r="T31" s="127"/>
      <c r="U31" s="127"/>
      <c r="V31" s="127"/>
      <c r="W31" s="127"/>
      <c r="X31" s="127"/>
      <c r="Y31" s="127"/>
      <c r="Z31" s="127"/>
      <c r="AA31" s="127"/>
    </row>
    <row r="32" spans="1:27" ht="12.65" customHeight="1" x14ac:dyDescent="0.25">
      <c r="A32" s="127"/>
      <c r="B32" s="127"/>
      <c r="C32" s="127"/>
      <c r="D32" s="127"/>
      <c r="E32" s="595"/>
      <c r="F32" s="599"/>
      <c r="G32" s="127"/>
      <c r="H32" s="127"/>
      <c r="I32" s="127"/>
      <c r="J32" s="127"/>
      <c r="K32" s="127"/>
      <c r="L32" s="127"/>
      <c r="M32" s="127"/>
      <c r="N32" s="127"/>
      <c r="O32" s="127"/>
      <c r="P32" s="127"/>
      <c r="Q32" s="127"/>
      <c r="R32" s="127"/>
      <c r="S32" s="127"/>
      <c r="T32" s="127"/>
      <c r="U32" s="127"/>
      <c r="V32" s="127"/>
      <c r="W32" s="127"/>
      <c r="X32" s="127"/>
      <c r="Y32" s="127"/>
      <c r="Z32" s="127"/>
      <c r="AA32" s="127"/>
    </row>
    <row r="33" spans="1:27" ht="12.65" customHeight="1" x14ac:dyDescent="0.25">
      <c r="A33" s="127"/>
      <c r="B33" s="127"/>
      <c r="C33" s="127"/>
      <c r="D33" s="127"/>
      <c r="E33" s="595"/>
      <c r="F33" s="599"/>
      <c r="G33" s="127"/>
      <c r="H33" s="127"/>
      <c r="I33" s="127"/>
      <c r="J33" s="127"/>
      <c r="K33" s="127"/>
      <c r="L33" s="127"/>
      <c r="M33" s="127"/>
      <c r="N33" s="127"/>
      <c r="O33" s="127"/>
      <c r="P33" s="127"/>
      <c r="Q33" s="127"/>
      <c r="R33" s="127"/>
      <c r="S33" s="127"/>
      <c r="T33" s="127"/>
      <c r="U33" s="127"/>
      <c r="V33" s="127"/>
      <c r="W33" s="127"/>
      <c r="X33" s="127"/>
      <c r="Y33" s="127"/>
      <c r="Z33" s="127"/>
      <c r="AA33" s="127"/>
    </row>
    <row r="34" spans="1:27" ht="13" x14ac:dyDescent="0.3">
      <c r="A34" s="127"/>
      <c r="B34" s="127"/>
      <c r="C34" s="127"/>
      <c r="D34" s="127"/>
      <c r="E34" s="595"/>
      <c r="F34" s="599"/>
      <c r="G34" s="127"/>
      <c r="H34" s="127"/>
      <c r="I34" s="127"/>
      <c r="J34" s="114">
        <v>7</v>
      </c>
      <c r="K34" s="127" t="s">
        <v>164</v>
      </c>
      <c r="L34" s="127"/>
      <c r="M34" s="127"/>
      <c r="N34" s="127"/>
      <c r="O34" s="127"/>
      <c r="P34" s="127"/>
      <c r="Q34" s="127"/>
      <c r="R34" s="127"/>
      <c r="S34" s="127"/>
      <c r="T34" s="127"/>
      <c r="U34" s="127"/>
      <c r="V34" s="127"/>
      <c r="W34" s="127"/>
      <c r="X34" s="127"/>
      <c r="Y34" s="127"/>
      <c r="Z34" s="127"/>
      <c r="AA34" s="127"/>
    </row>
    <row r="35" spans="1:27" ht="12.65" customHeight="1" x14ac:dyDescent="0.25">
      <c r="A35" s="127"/>
      <c r="B35" s="127"/>
      <c r="C35" s="127"/>
      <c r="D35" s="127"/>
      <c r="E35" s="595"/>
      <c r="F35" s="599"/>
      <c r="G35" s="127"/>
      <c r="H35" s="127"/>
      <c r="I35" s="127"/>
      <c r="J35" s="596" t="s">
        <v>173</v>
      </c>
      <c r="K35" s="127"/>
      <c r="L35" s="127"/>
      <c r="M35" s="127"/>
      <c r="N35" s="127"/>
      <c r="O35" s="127"/>
      <c r="P35" s="127"/>
      <c r="Q35" s="127"/>
      <c r="R35" s="127"/>
      <c r="S35" s="127"/>
      <c r="T35" s="127"/>
      <c r="U35" s="127"/>
      <c r="V35" s="127"/>
      <c r="W35" s="127"/>
      <c r="X35" s="127"/>
      <c r="Y35" s="127"/>
      <c r="Z35" s="127"/>
      <c r="AA35" s="127"/>
    </row>
    <row r="36" spans="1:27" ht="12.65" customHeight="1" x14ac:dyDescent="0.25">
      <c r="A36" s="127"/>
      <c r="B36" s="127"/>
      <c r="C36" s="127"/>
      <c r="D36" s="127"/>
      <c r="E36" s="595"/>
      <c r="F36" s="599"/>
      <c r="G36" s="127"/>
      <c r="H36" s="127"/>
      <c r="I36" s="127"/>
      <c r="J36" s="597"/>
      <c r="K36" s="127"/>
      <c r="L36" s="127"/>
      <c r="M36" s="127"/>
      <c r="N36" s="127"/>
      <c r="O36" s="127"/>
      <c r="P36" s="127"/>
      <c r="Q36" s="127"/>
      <c r="R36" s="127"/>
      <c r="S36" s="127"/>
      <c r="T36" s="127"/>
      <c r="U36" s="127"/>
      <c r="V36" s="127"/>
      <c r="W36" s="127"/>
      <c r="X36" s="127"/>
      <c r="Y36" s="127"/>
      <c r="Z36" s="127"/>
      <c r="AA36" s="127"/>
    </row>
    <row r="37" spans="1:27" ht="12.65" customHeight="1" x14ac:dyDescent="0.25">
      <c r="A37" s="127"/>
      <c r="B37" s="127"/>
      <c r="C37" s="127"/>
      <c r="D37" s="127"/>
      <c r="E37" s="595"/>
      <c r="F37" s="599"/>
      <c r="G37" s="127"/>
      <c r="H37" s="127"/>
      <c r="I37" s="127"/>
      <c r="J37" s="597"/>
      <c r="K37" s="127"/>
      <c r="L37" s="127"/>
      <c r="M37" s="127"/>
      <c r="N37" s="127"/>
      <c r="O37" s="127"/>
      <c r="P37" s="127"/>
      <c r="Q37" s="127"/>
      <c r="R37" s="127"/>
      <c r="S37" s="127"/>
      <c r="T37" s="127"/>
      <c r="U37" s="127"/>
      <c r="V37" s="127"/>
      <c r="W37" s="127"/>
      <c r="X37" s="127"/>
      <c r="Y37" s="127"/>
      <c r="Z37" s="127"/>
      <c r="AA37" s="127"/>
    </row>
    <row r="38" spans="1:27" x14ac:dyDescent="0.25">
      <c r="A38" s="127"/>
      <c r="B38" s="127"/>
      <c r="C38" s="127"/>
      <c r="D38" s="127"/>
      <c r="E38" s="127"/>
      <c r="F38" s="127"/>
      <c r="G38" s="127"/>
      <c r="H38" s="127"/>
      <c r="I38" s="127"/>
      <c r="J38" s="597"/>
      <c r="K38" s="127"/>
      <c r="L38" s="127"/>
      <c r="M38" s="127"/>
      <c r="N38" s="127"/>
      <c r="O38" s="127"/>
      <c r="P38" s="127"/>
      <c r="Q38" s="127"/>
      <c r="R38" s="127"/>
      <c r="S38" s="127"/>
      <c r="T38" s="127"/>
      <c r="U38" s="127"/>
      <c r="V38" s="127"/>
      <c r="W38" s="127"/>
      <c r="X38" s="127"/>
      <c r="Y38" s="127"/>
      <c r="Z38" s="127"/>
      <c r="AA38" s="127"/>
    </row>
    <row r="39" spans="1:27" x14ac:dyDescent="0.25">
      <c r="A39" s="127"/>
      <c r="B39" s="127"/>
      <c r="C39" s="127"/>
      <c r="D39" s="127"/>
      <c r="E39" s="127"/>
      <c r="F39" s="127"/>
      <c r="G39" s="127"/>
      <c r="H39" s="127"/>
      <c r="I39" s="127"/>
      <c r="J39" s="597"/>
      <c r="K39" s="127"/>
      <c r="L39" s="127"/>
      <c r="M39" s="127"/>
      <c r="N39" s="127"/>
      <c r="O39" s="127"/>
      <c r="P39" s="127"/>
      <c r="Q39" s="127"/>
      <c r="R39" s="127"/>
      <c r="S39" s="127"/>
      <c r="T39" s="127"/>
      <c r="U39" s="127"/>
      <c r="V39" s="127"/>
      <c r="W39" s="127"/>
      <c r="X39" s="127"/>
      <c r="Y39" s="127"/>
      <c r="Z39" s="127"/>
      <c r="AA39" s="127"/>
    </row>
    <row r="40" spans="1:27" x14ac:dyDescent="0.25">
      <c r="A40" s="127"/>
      <c r="B40" s="127"/>
      <c r="C40" s="127"/>
      <c r="D40" s="127"/>
      <c r="E40" s="127"/>
      <c r="F40" s="127"/>
      <c r="G40" s="127"/>
      <c r="H40" s="127"/>
      <c r="I40" s="127"/>
      <c r="J40" s="597"/>
      <c r="K40" s="127"/>
      <c r="L40" s="127"/>
      <c r="M40" s="127"/>
      <c r="N40" s="127"/>
      <c r="O40" s="127"/>
      <c r="P40" s="127"/>
      <c r="Q40" s="127"/>
      <c r="R40" s="127"/>
      <c r="S40" s="127"/>
      <c r="T40" s="127"/>
      <c r="U40" s="127"/>
      <c r="V40" s="127"/>
      <c r="W40" s="127"/>
      <c r="X40" s="127"/>
      <c r="Y40" s="127"/>
      <c r="Z40" s="127"/>
      <c r="AA40" s="127"/>
    </row>
    <row r="41" spans="1:27" ht="13" x14ac:dyDescent="0.3">
      <c r="A41" s="192" t="s">
        <v>190</v>
      </c>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row>
    <row r="42" spans="1:27" x14ac:dyDescent="0.25">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row>
    <row r="43" spans="1:27" x14ac:dyDescent="0.25">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row>
    <row r="44" spans="1:27" x14ac:dyDescent="0.25">
      <c r="A44" s="127"/>
      <c r="B44" s="127"/>
      <c r="C44" s="127"/>
      <c r="D44" s="127"/>
      <c r="E44" s="231">
        <v>5.0000000000000001E-3</v>
      </c>
      <c r="F44" s="592" t="s">
        <v>193</v>
      </c>
      <c r="G44" s="593"/>
      <c r="H44" s="593"/>
      <c r="I44" s="593"/>
      <c r="J44" s="593"/>
      <c r="K44" s="593"/>
      <c r="L44" s="593"/>
      <c r="M44" s="593"/>
      <c r="N44" s="127"/>
      <c r="O44" s="127"/>
      <c r="P44" s="127"/>
      <c r="Q44" s="127"/>
      <c r="R44" s="127"/>
      <c r="S44" s="127"/>
      <c r="T44" s="127"/>
      <c r="U44" s="127"/>
      <c r="V44" s="127"/>
      <c r="W44" s="127"/>
      <c r="X44" s="127"/>
      <c r="Y44" s="127"/>
      <c r="Z44" s="127"/>
      <c r="AA44" s="127"/>
    </row>
    <row r="45" spans="1:27" x14ac:dyDescent="0.25">
      <c r="A45" s="127"/>
      <c r="B45" s="600" t="s">
        <v>318</v>
      </c>
      <c r="C45" s="600"/>
      <c r="D45" s="127"/>
      <c r="E45" s="127"/>
      <c r="F45" s="591" t="s">
        <v>192</v>
      </c>
      <c r="G45" s="591"/>
      <c r="H45" s="591"/>
      <c r="I45" s="591"/>
      <c r="J45" s="591"/>
      <c r="K45" s="591"/>
      <c r="L45" s="127"/>
      <c r="M45" s="127"/>
      <c r="N45" s="127"/>
      <c r="O45" s="127"/>
      <c r="P45" s="127"/>
      <c r="Q45" s="127"/>
      <c r="R45" s="127"/>
      <c r="S45" s="127"/>
      <c r="T45" s="127"/>
      <c r="U45" s="127"/>
      <c r="V45" s="127"/>
      <c r="W45" s="127"/>
      <c r="X45" s="127"/>
      <c r="Y45" s="127"/>
      <c r="Z45" s="127"/>
      <c r="AA45" s="127"/>
    </row>
    <row r="46" spans="1:27" x14ac:dyDescent="0.25">
      <c r="A46" s="127"/>
      <c r="B46" s="341" t="s">
        <v>316</v>
      </c>
      <c r="C46" s="341" t="s">
        <v>317</v>
      </c>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row>
    <row r="47" spans="1:27" ht="13" x14ac:dyDescent="0.3">
      <c r="A47" s="127"/>
      <c r="B47" s="205">
        <v>0</v>
      </c>
      <c r="C47" s="343">
        <v>100</v>
      </c>
      <c r="D47" s="127"/>
      <c r="E47" s="127"/>
      <c r="F47" s="127"/>
      <c r="G47" s="127"/>
      <c r="H47" s="127"/>
      <c r="I47" s="127"/>
      <c r="J47" s="127"/>
      <c r="K47" s="127"/>
      <c r="L47" s="127"/>
      <c r="M47" s="127"/>
      <c r="N47" s="127"/>
      <c r="O47" s="127"/>
      <c r="P47" s="224"/>
      <c r="Q47" s="127"/>
      <c r="R47" s="127"/>
      <c r="S47" s="127"/>
      <c r="T47" s="127"/>
      <c r="U47" s="127"/>
      <c r="V47" s="127"/>
      <c r="W47" s="127"/>
      <c r="X47" s="127"/>
      <c r="Y47" s="127"/>
      <c r="Z47" s="127"/>
      <c r="AA47" s="127"/>
    </row>
    <row r="48" spans="1:27" x14ac:dyDescent="0.25">
      <c r="A48" s="127"/>
      <c r="B48" s="205">
        <f t="shared" ref="B48:B67" si="2">B47+15</f>
        <v>15</v>
      </c>
      <c r="C48" s="342">
        <f>C47*EXP(-$E$44*15)</f>
        <v>92.774348632855279</v>
      </c>
      <c r="D48" s="127"/>
      <c r="E48" s="127"/>
      <c r="F48" s="127"/>
      <c r="G48" s="127"/>
      <c r="H48" s="127"/>
      <c r="I48" s="127"/>
      <c r="J48" s="127"/>
      <c r="K48" s="127"/>
      <c r="L48" s="127"/>
      <c r="M48" s="127"/>
      <c r="N48" s="127"/>
      <c r="O48" s="127"/>
      <c r="P48" s="224"/>
      <c r="Q48" s="127"/>
      <c r="R48" s="127"/>
      <c r="S48" s="127"/>
      <c r="T48" s="127"/>
      <c r="U48" s="127"/>
      <c r="V48" s="127"/>
      <c r="W48" s="127"/>
      <c r="X48" s="127"/>
      <c r="Y48" s="127"/>
      <c r="Z48" s="127"/>
      <c r="AA48" s="127"/>
    </row>
    <row r="49" spans="1:27" x14ac:dyDescent="0.25">
      <c r="A49" s="127"/>
      <c r="B49" s="205">
        <f t="shared" si="2"/>
        <v>30</v>
      </c>
      <c r="C49" s="342">
        <f t="shared" ref="C49:C67" si="3">C48*EXP(-$E$44*15)</f>
        <v>86.070797642505767</v>
      </c>
      <c r="D49" s="127"/>
      <c r="E49" s="127"/>
      <c r="F49" s="127"/>
      <c r="G49" s="127"/>
      <c r="H49" s="127"/>
      <c r="I49" s="127"/>
      <c r="J49" s="127"/>
      <c r="K49" s="127"/>
      <c r="L49" s="127"/>
      <c r="M49" s="127"/>
      <c r="N49" s="127"/>
      <c r="O49" s="127"/>
      <c r="P49" s="224"/>
      <c r="Q49" s="127"/>
      <c r="R49" s="127"/>
      <c r="S49" s="127"/>
      <c r="T49" s="127"/>
      <c r="U49" s="127"/>
      <c r="V49" s="127"/>
      <c r="W49" s="127"/>
      <c r="X49" s="127"/>
      <c r="Y49" s="127"/>
      <c r="Z49" s="127"/>
      <c r="AA49" s="127"/>
    </row>
    <row r="50" spans="1:27" x14ac:dyDescent="0.25">
      <c r="A50" s="127"/>
      <c r="B50" s="205">
        <f t="shared" si="2"/>
        <v>45</v>
      </c>
      <c r="C50" s="342">
        <f t="shared" si="3"/>
        <v>79.851621875937681</v>
      </c>
      <c r="D50" s="127"/>
      <c r="E50" s="127"/>
      <c r="F50" s="127"/>
      <c r="G50" s="127"/>
      <c r="H50" s="127"/>
      <c r="I50" s="127"/>
      <c r="J50" s="127"/>
      <c r="K50" s="127"/>
      <c r="L50" s="127"/>
      <c r="M50" s="127"/>
      <c r="N50" s="127"/>
      <c r="O50" s="127"/>
      <c r="P50" s="224"/>
      <c r="Q50" s="127"/>
      <c r="R50" s="127"/>
      <c r="S50" s="127"/>
      <c r="T50" s="127"/>
      <c r="U50" s="127"/>
      <c r="V50" s="127"/>
      <c r="W50" s="127"/>
      <c r="X50" s="127"/>
      <c r="Y50" s="127"/>
      <c r="Z50" s="127"/>
      <c r="AA50" s="127"/>
    </row>
    <row r="51" spans="1:27" x14ac:dyDescent="0.25">
      <c r="A51" s="127"/>
      <c r="B51" s="205">
        <f t="shared" si="2"/>
        <v>60</v>
      </c>
      <c r="C51" s="342">
        <f t="shared" si="3"/>
        <v>74.081822068171761</v>
      </c>
      <c r="D51" s="127"/>
      <c r="E51" s="127"/>
      <c r="F51" s="127"/>
      <c r="G51" s="127"/>
      <c r="H51" s="127"/>
      <c r="I51" s="127"/>
      <c r="J51" s="127"/>
      <c r="K51" s="127"/>
      <c r="L51" s="127"/>
      <c r="M51" s="127"/>
      <c r="N51" s="127"/>
      <c r="O51" s="127"/>
      <c r="P51" s="224"/>
      <c r="Q51" s="127"/>
      <c r="R51" s="127"/>
      <c r="S51" s="127"/>
      <c r="T51" s="127"/>
      <c r="U51" s="127"/>
      <c r="V51" s="127"/>
      <c r="W51" s="127"/>
      <c r="X51" s="127"/>
      <c r="Y51" s="127"/>
      <c r="Z51" s="127"/>
      <c r="AA51" s="127"/>
    </row>
    <row r="52" spans="1:27" x14ac:dyDescent="0.25">
      <c r="A52" s="127"/>
      <c r="B52" s="205">
        <f t="shared" si="2"/>
        <v>75</v>
      </c>
      <c r="C52" s="342">
        <f t="shared" si="3"/>
        <v>68.728927879097199</v>
      </c>
      <c r="D52" s="127"/>
      <c r="E52" s="127"/>
      <c r="F52" s="127"/>
      <c r="G52" s="127"/>
      <c r="H52" s="127"/>
      <c r="I52" s="127"/>
      <c r="J52" s="127"/>
      <c r="K52" s="127"/>
      <c r="L52" s="127"/>
      <c r="M52" s="127"/>
      <c r="N52" s="127"/>
      <c r="O52" s="127"/>
      <c r="P52" s="224"/>
      <c r="Q52" s="127"/>
      <c r="R52" s="127"/>
      <c r="S52" s="127"/>
      <c r="T52" s="127"/>
      <c r="U52" s="127"/>
      <c r="V52" s="127"/>
      <c r="W52" s="127"/>
      <c r="X52" s="127"/>
      <c r="Y52" s="127"/>
      <c r="Z52" s="127"/>
      <c r="AA52" s="127"/>
    </row>
    <row r="53" spans="1:27" x14ac:dyDescent="0.25">
      <c r="A53" s="127"/>
      <c r="B53" s="205">
        <f t="shared" si="2"/>
        <v>90</v>
      </c>
      <c r="C53" s="342">
        <f t="shared" si="3"/>
        <v>63.762815162177304</v>
      </c>
      <c r="D53" s="127"/>
      <c r="E53" s="127"/>
      <c r="F53" s="127"/>
      <c r="G53" s="127"/>
      <c r="H53" s="127"/>
      <c r="I53" s="127"/>
      <c r="J53" s="127"/>
      <c r="K53" s="127"/>
      <c r="L53" s="127"/>
      <c r="M53" s="127"/>
      <c r="N53" s="127"/>
      <c r="O53" s="127"/>
      <c r="P53" s="224"/>
      <c r="Q53" s="127"/>
      <c r="R53" s="127"/>
      <c r="S53" s="127"/>
      <c r="T53" s="127"/>
      <c r="U53" s="127"/>
      <c r="V53" s="127"/>
      <c r="W53" s="127"/>
      <c r="X53" s="127"/>
      <c r="Y53" s="127"/>
      <c r="Z53" s="127"/>
      <c r="AA53" s="127"/>
    </row>
    <row r="54" spans="1:27" x14ac:dyDescent="0.25">
      <c r="A54" s="127"/>
      <c r="B54" s="205">
        <f t="shared" si="2"/>
        <v>105</v>
      </c>
      <c r="C54" s="342">
        <f t="shared" si="3"/>
        <v>59.15553643668148</v>
      </c>
      <c r="D54" s="127"/>
      <c r="E54" s="127"/>
      <c r="F54" s="127"/>
      <c r="G54" s="127"/>
      <c r="H54" s="127"/>
      <c r="I54" s="127"/>
      <c r="J54" s="127"/>
      <c r="K54" s="127"/>
      <c r="L54" s="127"/>
      <c r="M54" s="127"/>
      <c r="N54" s="127"/>
      <c r="O54" s="127"/>
      <c r="P54" s="224"/>
      <c r="Q54" s="127"/>
      <c r="R54" s="127"/>
      <c r="S54" s="127"/>
      <c r="T54" s="127"/>
      <c r="U54" s="127"/>
      <c r="V54" s="127"/>
      <c r="W54" s="127"/>
      <c r="X54" s="127"/>
      <c r="Y54" s="127"/>
      <c r="Z54" s="127"/>
      <c r="AA54" s="127"/>
    </row>
    <row r="55" spans="1:27" x14ac:dyDescent="0.25">
      <c r="A55" s="127"/>
      <c r="B55" s="205">
        <f t="shared" si="2"/>
        <v>120</v>
      </c>
      <c r="C55" s="342">
        <f t="shared" si="3"/>
        <v>54.881163609402613</v>
      </c>
      <c r="D55" s="127"/>
      <c r="E55" s="127"/>
      <c r="F55" s="127"/>
      <c r="G55" s="127"/>
      <c r="H55" s="127"/>
      <c r="I55" s="127"/>
      <c r="J55" s="127"/>
      <c r="K55" s="127"/>
      <c r="L55" s="127"/>
      <c r="M55" s="127"/>
      <c r="N55" s="127"/>
      <c r="O55" s="127"/>
      <c r="P55" s="224"/>
      <c r="Q55" s="127"/>
      <c r="R55" s="127"/>
      <c r="S55" s="127"/>
      <c r="T55" s="127"/>
      <c r="U55" s="127"/>
      <c r="V55" s="127"/>
      <c r="W55" s="127"/>
      <c r="X55" s="127"/>
      <c r="Y55" s="127"/>
      <c r="Z55" s="127"/>
      <c r="AA55" s="127"/>
    </row>
    <row r="56" spans="1:27" x14ac:dyDescent="0.25">
      <c r="A56" s="127"/>
      <c r="B56" s="205">
        <f t="shared" si="2"/>
        <v>135</v>
      </c>
      <c r="C56" s="342">
        <f t="shared" si="3"/>
        <v>50.915642060754884</v>
      </c>
      <c r="D56" s="127"/>
      <c r="E56" s="127"/>
      <c r="F56" s="127"/>
      <c r="G56" s="127"/>
      <c r="H56" s="127"/>
      <c r="I56" s="127"/>
      <c r="J56" s="127"/>
      <c r="K56" s="127"/>
      <c r="L56" s="127"/>
      <c r="M56" s="127"/>
      <c r="N56" s="127"/>
      <c r="O56" s="127"/>
      <c r="P56" s="224"/>
      <c r="Q56" s="127"/>
      <c r="R56" s="127"/>
      <c r="S56" s="127"/>
      <c r="T56" s="127"/>
      <c r="U56" s="127"/>
      <c r="V56" s="127"/>
      <c r="W56" s="127"/>
      <c r="X56" s="127"/>
      <c r="Y56" s="127"/>
      <c r="Z56" s="127"/>
      <c r="AA56" s="127"/>
    </row>
    <row r="57" spans="1:27" x14ac:dyDescent="0.25">
      <c r="A57" s="127"/>
      <c r="B57" s="205">
        <f t="shared" si="2"/>
        <v>150</v>
      </c>
      <c r="C57" s="342">
        <f t="shared" si="3"/>
        <v>47.236655274101437</v>
      </c>
      <c r="D57" s="127"/>
      <c r="E57" s="127"/>
      <c r="F57" s="127"/>
      <c r="G57" s="127"/>
      <c r="H57" s="127"/>
      <c r="I57" s="127"/>
      <c r="J57" s="127"/>
      <c r="K57" s="127"/>
      <c r="L57" s="127"/>
      <c r="M57" s="127"/>
      <c r="N57" s="127"/>
      <c r="O57" s="127"/>
      <c r="P57" s="224"/>
      <c r="Q57" s="127"/>
      <c r="R57" s="127"/>
      <c r="S57" s="127"/>
      <c r="T57" s="127"/>
      <c r="U57" s="127"/>
      <c r="V57" s="127"/>
      <c r="W57" s="127"/>
      <c r="X57" s="127"/>
      <c r="Y57" s="127"/>
      <c r="Z57" s="127"/>
      <c r="AA57" s="127"/>
    </row>
    <row r="58" spans="1:27" x14ac:dyDescent="0.25">
      <c r="A58" s="127"/>
      <c r="B58" s="205">
        <f t="shared" si="2"/>
        <v>165</v>
      </c>
      <c r="C58" s="342">
        <f t="shared" si="3"/>
        <v>43.82349924649489</v>
      </c>
      <c r="D58" s="127"/>
      <c r="E58" s="127"/>
      <c r="F58" s="127"/>
      <c r="G58" s="127"/>
      <c r="H58" s="127"/>
      <c r="I58" s="127"/>
      <c r="J58" s="127"/>
      <c r="K58" s="127"/>
      <c r="L58" s="127"/>
      <c r="M58" s="127"/>
      <c r="N58" s="127"/>
      <c r="O58" s="127"/>
      <c r="P58" s="224"/>
      <c r="Q58" s="127"/>
      <c r="R58" s="127"/>
      <c r="S58" s="127"/>
      <c r="T58" s="127"/>
      <c r="U58" s="127"/>
      <c r="V58" s="127"/>
      <c r="W58" s="127"/>
      <c r="X58" s="127"/>
      <c r="Y58" s="127"/>
      <c r="Z58" s="127"/>
      <c r="AA58" s="127"/>
    </row>
    <row r="59" spans="1:27" x14ac:dyDescent="0.25">
      <c r="A59" s="127"/>
      <c r="B59" s="205">
        <f t="shared" si="2"/>
        <v>180</v>
      </c>
      <c r="C59" s="342">
        <f t="shared" si="3"/>
        <v>40.656965974059879</v>
      </c>
      <c r="D59" s="127"/>
      <c r="E59" s="127"/>
      <c r="F59" s="127"/>
      <c r="G59" s="127"/>
      <c r="H59" s="127"/>
      <c r="I59" s="127"/>
      <c r="J59" s="127"/>
      <c r="K59" s="127"/>
      <c r="L59" s="127"/>
      <c r="M59" s="127"/>
      <c r="N59" s="127"/>
      <c r="O59" s="127"/>
      <c r="P59" s="224"/>
      <c r="Q59" s="127"/>
      <c r="R59" s="127"/>
      <c r="S59" s="127"/>
      <c r="T59" s="127"/>
      <c r="U59" s="127"/>
      <c r="V59" s="127"/>
      <c r="W59" s="127"/>
      <c r="X59" s="127"/>
      <c r="Y59" s="127"/>
      <c r="Z59" s="127"/>
      <c r="AA59" s="127"/>
    </row>
    <row r="60" spans="1:27" x14ac:dyDescent="0.25">
      <c r="A60" s="127"/>
      <c r="B60" s="205">
        <f t="shared" si="2"/>
        <v>195</v>
      </c>
      <c r="C60" s="342">
        <f t="shared" si="3"/>
        <v>37.719235356315657</v>
      </c>
      <c r="D60" s="127"/>
      <c r="E60" s="127"/>
      <c r="F60" s="127"/>
      <c r="G60" s="127"/>
      <c r="H60" s="127"/>
      <c r="I60" s="127"/>
      <c r="J60" s="127"/>
      <c r="K60" s="127"/>
      <c r="L60" s="127"/>
      <c r="M60" s="127"/>
      <c r="N60" s="127"/>
      <c r="O60" s="127"/>
      <c r="P60" s="224"/>
      <c r="Q60" s="127"/>
      <c r="R60" s="127"/>
      <c r="S60" s="127"/>
      <c r="T60" s="127"/>
      <c r="U60" s="127"/>
      <c r="V60" s="127"/>
      <c r="W60" s="127"/>
      <c r="X60" s="127"/>
      <c r="Y60" s="127"/>
      <c r="Z60" s="127"/>
      <c r="AA60" s="127"/>
    </row>
    <row r="61" spans="1:27" x14ac:dyDescent="0.25">
      <c r="A61" s="127"/>
      <c r="B61" s="205">
        <f t="shared" si="2"/>
        <v>210</v>
      </c>
      <c r="C61" s="342">
        <f t="shared" si="3"/>
        <v>34.993774911115501</v>
      </c>
      <c r="D61" s="127"/>
      <c r="E61" s="127"/>
      <c r="F61" s="127"/>
      <c r="G61" s="127"/>
      <c r="H61" s="127"/>
      <c r="I61" s="127"/>
      <c r="J61" s="127"/>
      <c r="K61" s="127"/>
      <c r="L61" s="127"/>
      <c r="M61" s="127"/>
      <c r="N61" s="127"/>
      <c r="O61" s="127"/>
      <c r="P61" s="224"/>
      <c r="Q61" s="127"/>
      <c r="R61" s="127"/>
      <c r="S61" s="127"/>
      <c r="T61" s="127"/>
      <c r="U61" s="127"/>
      <c r="V61" s="127"/>
      <c r="W61" s="127"/>
      <c r="X61" s="127"/>
      <c r="Y61" s="127"/>
      <c r="Z61" s="127"/>
      <c r="AA61" s="127"/>
    </row>
    <row r="62" spans="1:27" x14ac:dyDescent="0.25">
      <c r="A62" s="127"/>
      <c r="B62" s="205">
        <f t="shared" si="2"/>
        <v>225</v>
      </c>
      <c r="C62" s="342">
        <f t="shared" si="3"/>
        <v>32.465246735834938</v>
      </c>
      <c r="D62" s="127"/>
      <c r="E62" s="127"/>
      <c r="F62" s="127"/>
      <c r="G62" s="127"/>
      <c r="H62" s="127"/>
      <c r="I62" s="127"/>
      <c r="J62" s="127"/>
      <c r="K62" s="127"/>
      <c r="L62" s="127"/>
      <c r="M62" s="127"/>
      <c r="N62" s="127"/>
      <c r="O62" s="127"/>
      <c r="P62" s="224"/>
      <c r="Q62" s="127"/>
      <c r="R62" s="127"/>
      <c r="S62" s="127"/>
      <c r="T62" s="127"/>
      <c r="U62" s="127"/>
      <c r="V62" s="127"/>
      <c r="W62" s="127"/>
      <c r="X62" s="127"/>
      <c r="Y62" s="127"/>
      <c r="Z62" s="127"/>
      <c r="AA62" s="127"/>
    </row>
    <row r="63" spans="1:27" x14ac:dyDescent="0.25">
      <c r="A63" s="127"/>
      <c r="B63" s="205">
        <f t="shared" si="2"/>
        <v>240</v>
      </c>
      <c r="C63" s="342">
        <f t="shared" si="3"/>
        <v>30.119421191220177</v>
      </c>
      <c r="D63" s="127"/>
      <c r="E63" s="127"/>
      <c r="F63" s="127"/>
      <c r="G63" s="127"/>
      <c r="H63" s="127"/>
      <c r="I63" s="127"/>
      <c r="J63" s="127"/>
      <c r="K63" s="127"/>
      <c r="L63" s="127"/>
      <c r="M63" s="127"/>
      <c r="N63" s="127"/>
      <c r="O63" s="127"/>
      <c r="P63" s="224"/>
      <c r="Q63" s="127"/>
      <c r="R63" s="127"/>
      <c r="S63" s="127"/>
      <c r="T63" s="127"/>
      <c r="U63" s="127"/>
      <c r="V63" s="127"/>
      <c r="W63" s="127"/>
      <c r="X63" s="127"/>
      <c r="Y63" s="127"/>
      <c r="Z63" s="127"/>
      <c r="AA63" s="127"/>
    </row>
    <row r="64" spans="1:27" x14ac:dyDescent="0.25">
      <c r="A64" s="127"/>
      <c r="B64" s="205">
        <f t="shared" si="2"/>
        <v>255</v>
      </c>
      <c r="C64" s="342">
        <f t="shared" si="3"/>
        <v>27.943096822140703</v>
      </c>
      <c r="D64" s="127"/>
      <c r="E64" s="127"/>
      <c r="F64" s="127"/>
      <c r="G64" s="127"/>
      <c r="H64" s="127"/>
      <c r="I64" s="127"/>
      <c r="J64" s="127"/>
      <c r="K64" s="127"/>
      <c r="L64" s="127"/>
      <c r="M64" s="127"/>
      <c r="N64" s="127"/>
      <c r="O64" s="127"/>
      <c r="P64" s="224"/>
      <c r="Q64" s="127"/>
      <c r="R64" s="127"/>
      <c r="S64" s="127"/>
      <c r="T64" s="127"/>
      <c r="U64" s="127"/>
      <c r="V64" s="127"/>
      <c r="W64" s="127"/>
      <c r="X64" s="127"/>
      <c r="Y64" s="127"/>
      <c r="Z64" s="127"/>
      <c r="AA64" s="127"/>
    </row>
    <row r="65" spans="1:27" x14ac:dyDescent="0.25">
      <c r="A65" s="127"/>
      <c r="B65" s="205">
        <f t="shared" si="2"/>
        <v>270</v>
      </c>
      <c r="C65" s="342">
        <f t="shared" si="3"/>
        <v>25.924026064589121</v>
      </c>
      <c r="D65" s="127"/>
      <c r="E65" s="127"/>
      <c r="F65" s="127"/>
      <c r="G65" s="127"/>
      <c r="H65" s="127"/>
      <c r="I65" s="127"/>
      <c r="J65" s="127"/>
      <c r="K65" s="127"/>
      <c r="L65" s="127"/>
      <c r="M65" s="127"/>
      <c r="N65" s="127"/>
      <c r="O65" s="127"/>
      <c r="P65" s="224"/>
      <c r="Q65" s="127"/>
      <c r="R65" s="127"/>
      <c r="S65" s="127"/>
      <c r="T65" s="127"/>
      <c r="U65" s="127"/>
      <c r="V65" s="127"/>
      <c r="W65" s="127"/>
      <c r="X65" s="127"/>
      <c r="Y65" s="127"/>
      <c r="Z65" s="127"/>
      <c r="AA65" s="127"/>
    </row>
    <row r="66" spans="1:27" x14ac:dyDescent="0.25">
      <c r="A66" s="127"/>
      <c r="B66" s="205">
        <f t="shared" si="2"/>
        <v>285</v>
      </c>
      <c r="C66" s="342">
        <f t="shared" si="3"/>
        <v>24.050846320834186</v>
      </c>
      <c r="D66" s="127"/>
      <c r="E66" s="127"/>
      <c r="F66" s="127"/>
      <c r="G66" s="127"/>
      <c r="H66" s="127"/>
      <c r="I66" s="127"/>
      <c r="J66" s="127"/>
      <c r="K66" s="127"/>
      <c r="L66" s="127"/>
      <c r="M66" s="127"/>
      <c r="N66" s="127"/>
      <c r="O66" s="127"/>
      <c r="P66" s="224"/>
      <c r="Q66" s="127"/>
      <c r="R66" s="127"/>
      <c r="S66" s="127"/>
      <c r="T66" s="127"/>
      <c r="U66" s="127"/>
      <c r="V66" s="127"/>
      <c r="W66" s="127"/>
      <c r="X66" s="127"/>
      <c r="Y66" s="127"/>
      <c r="Z66" s="127"/>
      <c r="AA66" s="127"/>
    </row>
    <row r="67" spans="1:27" x14ac:dyDescent="0.25">
      <c r="A67" s="127"/>
      <c r="B67" s="205">
        <f t="shared" si="2"/>
        <v>300</v>
      </c>
      <c r="C67" s="342">
        <f t="shared" si="3"/>
        <v>22.313016014842955</v>
      </c>
      <c r="D67" s="127"/>
      <c r="E67" s="127"/>
      <c r="F67" s="127"/>
      <c r="G67" s="127"/>
      <c r="H67" s="127"/>
      <c r="I67" s="127"/>
      <c r="J67" s="127"/>
      <c r="K67" s="127"/>
      <c r="L67" s="127"/>
      <c r="M67" s="127"/>
      <c r="N67" s="127"/>
      <c r="O67" s="127"/>
      <c r="P67" s="224"/>
      <c r="Q67" s="127"/>
      <c r="R67" s="127"/>
      <c r="S67" s="127"/>
      <c r="T67" s="127"/>
      <c r="U67" s="127"/>
      <c r="V67" s="127"/>
      <c r="W67" s="127"/>
      <c r="X67" s="127"/>
      <c r="Y67" s="127"/>
      <c r="Z67" s="127"/>
      <c r="AA67" s="127"/>
    </row>
    <row r="68" spans="1:27" x14ac:dyDescent="0.25">
      <c r="A68" s="127"/>
      <c r="B68" s="127"/>
      <c r="C68" s="127"/>
      <c r="D68" s="127"/>
      <c r="E68" s="127"/>
      <c r="F68" s="127"/>
      <c r="G68" s="127"/>
      <c r="H68" s="127"/>
      <c r="I68" s="127"/>
      <c r="J68" s="127"/>
      <c r="K68" s="127"/>
      <c r="L68" s="127"/>
      <c r="M68" s="127"/>
      <c r="N68" s="127"/>
      <c r="O68" s="127"/>
      <c r="P68" s="224"/>
      <c r="Q68" s="127"/>
      <c r="R68" s="127"/>
      <c r="S68" s="127"/>
      <c r="T68" s="127"/>
      <c r="U68" s="127"/>
      <c r="V68" s="127"/>
      <c r="W68" s="127"/>
      <c r="X68" s="127"/>
      <c r="Y68" s="127"/>
      <c r="Z68" s="127"/>
      <c r="AA68" s="127"/>
    </row>
    <row r="69" spans="1:27" x14ac:dyDescent="0.25">
      <c r="A69" s="127"/>
      <c r="B69" s="127"/>
      <c r="C69" s="127"/>
      <c r="D69" s="127"/>
      <c r="E69" s="127"/>
      <c r="F69" s="127"/>
      <c r="G69" s="127"/>
      <c r="H69" s="127"/>
      <c r="I69" s="127"/>
      <c r="J69" s="127"/>
      <c r="K69" s="127"/>
      <c r="L69" s="127"/>
      <c r="M69" s="127"/>
      <c r="N69" s="127"/>
      <c r="O69" s="127"/>
      <c r="P69" s="224"/>
      <c r="Q69" s="127"/>
      <c r="R69" s="127"/>
      <c r="S69" s="127"/>
      <c r="T69" s="127"/>
      <c r="U69" s="127"/>
      <c r="V69" s="127"/>
      <c r="W69" s="127"/>
      <c r="X69" s="127"/>
      <c r="Y69" s="127"/>
      <c r="Z69" s="127"/>
      <c r="AA69" s="127"/>
    </row>
    <row r="70" spans="1:27" x14ac:dyDescent="0.25">
      <c r="A70" s="127"/>
      <c r="B70" s="127"/>
      <c r="C70" s="127"/>
      <c r="D70" s="127"/>
      <c r="E70" s="127"/>
      <c r="F70" s="127"/>
      <c r="G70" s="127"/>
      <c r="H70" s="127"/>
      <c r="I70" s="127"/>
      <c r="J70" s="127"/>
      <c r="K70" s="127"/>
      <c r="L70" s="127"/>
      <c r="M70" s="127"/>
      <c r="N70" s="127"/>
      <c r="O70" s="127"/>
      <c r="P70" s="224"/>
      <c r="Q70" s="127"/>
      <c r="R70" s="127"/>
      <c r="S70" s="127"/>
      <c r="T70" s="127"/>
      <c r="U70" s="127"/>
      <c r="V70" s="127"/>
      <c r="W70" s="127"/>
      <c r="X70" s="127"/>
      <c r="Y70" s="127"/>
      <c r="Z70" s="127"/>
      <c r="AA70" s="127"/>
    </row>
    <row r="71" spans="1:27" x14ac:dyDescent="0.25">
      <c r="A71" s="127"/>
      <c r="B71" s="127"/>
      <c r="C71" s="127"/>
      <c r="D71" s="127"/>
      <c r="E71" s="127"/>
      <c r="F71" s="127"/>
      <c r="G71" s="127"/>
      <c r="H71" s="127"/>
      <c r="I71" s="127"/>
      <c r="J71" s="127"/>
      <c r="K71" s="127"/>
      <c r="L71" s="127"/>
      <c r="M71" s="127"/>
      <c r="N71" s="127"/>
      <c r="O71" s="127"/>
      <c r="P71" s="224"/>
      <c r="Q71" s="127"/>
      <c r="R71" s="127"/>
      <c r="S71" s="127"/>
      <c r="T71" s="127"/>
      <c r="U71" s="127"/>
      <c r="V71" s="127"/>
      <c r="W71" s="127"/>
      <c r="X71" s="127"/>
      <c r="Y71" s="127"/>
      <c r="Z71" s="127"/>
      <c r="AA71" s="127"/>
    </row>
    <row r="72" spans="1:27" x14ac:dyDescent="0.25">
      <c r="A72" s="127"/>
      <c r="B72" s="127"/>
      <c r="C72" s="127"/>
      <c r="D72" s="127"/>
      <c r="E72" s="127"/>
      <c r="F72" s="127"/>
      <c r="G72" s="127"/>
      <c r="H72" s="127"/>
      <c r="I72" s="127"/>
      <c r="J72" s="127"/>
      <c r="K72" s="127"/>
      <c r="L72" s="127"/>
      <c r="M72" s="127"/>
      <c r="N72" s="127"/>
      <c r="O72" s="127"/>
      <c r="P72" s="224"/>
      <c r="Q72" s="127"/>
      <c r="R72" s="127"/>
      <c r="S72" s="127"/>
      <c r="T72" s="127"/>
      <c r="U72" s="127"/>
      <c r="V72" s="127"/>
      <c r="W72" s="127"/>
      <c r="X72" s="127"/>
      <c r="Y72" s="127"/>
      <c r="Z72" s="127"/>
      <c r="AA72" s="127"/>
    </row>
    <row r="73" spans="1:27" x14ac:dyDescent="0.25">
      <c r="A73" s="127"/>
      <c r="B73" s="127"/>
      <c r="C73" s="127"/>
      <c r="D73" s="127"/>
      <c r="E73" s="127"/>
      <c r="F73" s="127"/>
      <c r="G73" s="127"/>
      <c r="H73" s="127"/>
      <c r="I73" s="127"/>
      <c r="J73" s="127"/>
      <c r="K73" s="127"/>
      <c r="L73" s="127"/>
      <c r="M73" s="127"/>
      <c r="N73" s="127"/>
      <c r="O73" s="127"/>
      <c r="P73" s="224"/>
      <c r="Q73" s="127"/>
      <c r="R73" s="127"/>
      <c r="S73" s="127"/>
      <c r="T73" s="127"/>
      <c r="U73" s="127"/>
      <c r="V73" s="127"/>
      <c r="W73" s="127"/>
      <c r="X73" s="127"/>
      <c r="Y73" s="127"/>
      <c r="Z73" s="127"/>
      <c r="AA73" s="127"/>
    </row>
    <row r="74" spans="1:27" x14ac:dyDescent="0.25">
      <c r="A74" s="127"/>
      <c r="B74" s="127"/>
      <c r="C74" s="127"/>
      <c r="D74" s="127"/>
      <c r="E74" s="127"/>
      <c r="F74" s="127"/>
      <c r="G74" s="127"/>
      <c r="H74" s="127"/>
      <c r="I74" s="127"/>
      <c r="J74" s="127"/>
      <c r="K74" s="127"/>
      <c r="L74" s="127"/>
      <c r="M74" s="127"/>
      <c r="N74" s="127"/>
      <c r="O74" s="127"/>
      <c r="P74" s="224"/>
      <c r="Q74" s="127"/>
      <c r="R74" s="127"/>
      <c r="S74" s="127"/>
      <c r="T74" s="127"/>
      <c r="U74" s="127"/>
      <c r="V74" s="127"/>
      <c r="W74" s="127"/>
      <c r="X74" s="127"/>
      <c r="Y74" s="127"/>
      <c r="Z74" s="127"/>
      <c r="AA74" s="127"/>
    </row>
    <row r="75" spans="1:27" x14ac:dyDescent="0.25">
      <c r="A75" s="127"/>
      <c r="B75" s="127"/>
      <c r="C75" s="127"/>
      <c r="D75" s="127"/>
      <c r="E75" s="127"/>
      <c r="F75" s="127"/>
      <c r="G75" s="127"/>
      <c r="H75" s="127"/>
      <c r="I75" s="127"/>
      <c r="J75" s="127"/>
      <c r="K75" s="127"/>
      <c r="L75" s="127"/>
      <c r="M75" s="127"/>
      <c r="N75" s="127"/>
      <c r="O75" s="127"/>
      <c r="P75" s="224"/>
      <c r="Q75" s="127"/>
      <c r="R75" s="127"/>
      <c r="S75" s="127"/>
      <c r="T75" s="127"/>
      <c r="U75" s="127"/>
      <c r="V75" s="127"/>
      <c r="W75" s="127"/>
      <c r="X75" s="127"/>
      <c r="Y75" s="127"/>
      <c r="Z75" s="127"/>
      <c r="AA75" s="127"/>
    </row>
    <row r="76" spans="1:27" x14ac:dyDescent="0.25">
      <c r="A76" s="127"/>
      <c r="B76" s="127"/>
      <c r="C76" s="127"/>
      <c r="D76" s="127"/>
      <c r="E76" s="127"/>
      <c r="F76" s="127"/>
      <c r="G76" s="127"/>
      <c r="H76" s="127"/>
      <c r="I76" s="127"/>
      <c r="J76" s="127"/>
      <c r="K76" s="127"/>
      <c r="L76" s="127"/>
      <c r="M76" s="127"/>
      <c r="N76" s="127"/>
      <c r="O76" s="127"/>
      <c r="P76" s="224"/>
      <c r="Q76" s="127"/>
      <c r="R76" s="127"/>
      <c r="S76" s="127"/>
      <c r="T76" s="127"/>
      <c r="U76" s="127"/>
      <c r="V76" s="127"/>
      <c r="W76" s="127"/>
      <c r="X76" s="127"/>
      <c r="Y76" s="127"/>
      <c r="Z76" s="127"/>
      <c r="AA76" s="127"/>
    </row>
    <row r="77" spans="1:27" x14ac:dyDescent="0.25">
      <c r="A77" s="127"/>
      <c r="B77" s="127"/>
      <c r="C77" s="127"/>
      <c r="D77" s="127"/>
      <c r="E77" s="127"/>
      <c r="F77" s="127"/>
      <c r="G77" s="127"/>
      <c r="H77" s="127"/>
      <c r="I77" s="127"/>
      <c r="J77" s="127"/>
      <c r="K77" s="127"/>
      <c r="L77" s="127"/>
      <c r="M77" s="127"/>
      <c r="N77" s="127"/>
      <c r="O77" s="127"/>
      <c r="P77" s="224"/>
      <c r="Q77" s="127"/>
      <c r="R77" s="127"/>
      <c r="S77" s="127"/>
      <c r="T77" s="127"/>
      <c r="U77" s="127"/>
      <c r="V77" s="127"/>
      <c r="W77" s="127"/>
      <c r="X77" s="127"/>
      <c r="Y77" s="127"/>
      <c r="Z77" s="127"/>
      <c r="AA77" s="127"/>
    </row>
    <row r="78" spans="1:27" x14ac:dyDescent="0.25">
      <c r="A78" s="127"/>
      <c r="B78" s="127"/>
      <c r="C78" s="127"/>
      <c r="D78" s="127"/>
      <c r="E78" s="127"/>
      <c r="F78" s="127"/>
      <c r="G78" s="127"/>
      <c r="H78" s="127"/>
      <c r="I78" s="127"/>
      <c r="J78" s="127"/>
      <c r="K78" s="127"/>
      <c r="L78" s="127"/>
      <c r="M78" s="127"/>
      <c r="N78" s="127"/>
      <c r="O78" s="127"/>
      <c r="P78" s="224"/>
      <c r="Q78" s="127"/>
      <c r="R78" s="127"/>
      <c r="S78" s="127"/>
      <c r="T78" s="127"/>
      <c r="U78" s="127"/>
      <c r="V78" s="127"/>
      <c r="W78" s="127"/>
      <c r="X78" s="127"/>
      <c r="Y78" s="127"/>
      <c r="Z78" s="127"/>
      <c r="AA78" s="127"/>
    </row>
    <row r="79" spans="1:27" x14ac:dyDescent="0.25">
      <c r="O79" s="127"/>
      <c r="P79" s="224"/>
    </row>
    <row r="80" spans="1:27" x14ac:dyDescent="0.25">
      <c r="O80" s="127"/>
      <c r="P80" s="224"/>
    </row>
    <row r="81" spans="15:16" x14ac:dyDescent="0.25">
      <c r="O81" s="127"/>
      <c r="P81" s="224"/>
    </row>
    <row r="82" spans="15:16" x14ac:dyDescent="0.25">
      <c r="O82" s="127"/>
      <c r="P82" s="224"/>
    </row>
    <row r="83" spans="15:16" x14ac:dyDescent="0.25">
      <c r="O83" s="127"/>
      <c r="P83" s="224"/>
    </row>
    <row r="84" spans="15:16" x14ac:dyDescent="0.25">
      <c r="O84" s="127"/>
      <c r="P84" s="224"/>
    </row>
    <row r="85" spans="15:16" x14ac:dyDescent="0.25">
      <c r="O85" s="127"/>
      <c r="P85" s="224"/>
    </row>
    <row r="86" spans="15:16" x14ac:dyDescent="0.25">
      <c r="O86" s="127"/>
      <c r="P86" s="224"/>
    </row>
    <row r="87" spans="15:16" x14ac:dyDescent="0.25">
      <c r="O87" s="127"/>
      <c r="P87" s="224"/>
    </row>
    <row r="88" spans="15:16" x14ac:dyDescent="0.25">
      <c r="O88" s="127"/>
      <c r="P88" s="224"/>
    </row>
    <row r="89" spans="15:16" x14ac:dyDescent="0.25">
      <c r="O89" s="127"/>
      <c r="P89" s="224"/>
    </row>
    <row r="90" spans="15:16" x14ac:dyDescent="0.25">
      <c r="O90" s="127"/>
      <c r="P90" s="224"/>
    </row>
    <row r="91" spans="15:16" x14ac:dyDescent="0.25">
      <c r="O91" s="127"/>
      <c r="P91" s="224"/>
    </row>
    <row r="92" spans="15:16" x14ac:dyDescent="0.25">
      <c r="O92" s="127"/>
      <c r="P92" s="224"/>
    </row>
    <row r="93" spans="15:16" x14ac:dyDescent="0.25">
      <c r="O93" s="127"/>
      <c r="P93" s="224"/>
    </row>
    <row r="94" spans="15:16" x14ac:dyDescent="0.25">
      <c r="O94" s="127"/>
      <c r="P94" s="224"/>
    </row>
    <row r="95" spans="15:16" x14ac:dyDescent="0.25">
      <c r="O95" s="127"/>
      <c r="P95" s="224"/>
    </row>
    <row r="96" spans="15:16" x14ac:dyDescent="0.25">
      <c r="O96" s="127"/>
      <c r="P96" s="224"/>
    </row>
    <row r="97" spans="15:16" x14ac:dyDescent="0.25">
      <c r="O97" s="127"/>
      <c r="P97" s="224"/>
    </row>
    <row r="98" spans="15:16" x14ac:dyDescent="0.25">
      <c r="O98" s="127"/>
      <c r="P98" s="224"/>
    </row>
    <row r="99" spans="15:16" x14ac:dyDescent="0.25">
      <c r="O99" s="127"/>
      <c r="P99" s="224"/>
    </row>
    <row r="100" spans="15:16" x14ac:dyDescent="0.25">
      <c r="O100" s="127"/>
      <c r="P100" s="224"/>
    </row>
    <row r="101" spans="15:16" x14ac:dyDescent="0.25">
      <c r="O101" s="127"/>
      <c r="P101" s="224"/>
    </row>
    <row r="102" spans="15:16" x14ac:dyDescent="0.25">
      <c r="O102" s="127"/>
      <c r="P102" s="224"/>
    </row>
    <row r="103" spans="15:16" x14ac:dyDescent="0.25">
      <c r="O103" s="127"/>
      <c r="P103" s="224"/>
    </row>
    <row r="104" spans="15:16" x14ac:dyDescent="0.25">
      <c r="O104" s="127"/>
      <c r="P104" s="224"/>
    </row>
    <row r="105" spans="15:16" x14ac:dyDescent="0.25">
      <c r="O105" s="127"/>
      <c r="P105" s="224"/>
    </row>
    <row r="106" spans="15:16" x14ac:dyDescent="0.25">
      <c r="O106" s="127"/>
      <c r="P106" s="224"/>
    </row>
    <row r="107" spans="15:16" x14ac:dyDescent="0.25">
      <c r="O107" s="127"/>
    </row>
    <row r="108" spans="15:16" x14ac:dyDescent="0.25">
      <c r="O108" s="127"/>
    </row>
    <row r="109" spans="15:16" x14ac:dyDescent="0.25">
      <c r="O109" s="127"/>
    </row>
    <row r="110" spans="15:16" x14ac:dyDescent="0.25">
      <c r="O110" s="127"/>
    </row>
    <row r="111" spans="15:16" x14ac:dyDescent="0.25">
      <c r="O111" s="127"/>
    </row>
    <row r="112" spans="15:16" x14ac:dyDescent="0.25">
      <c r="O112" s="127"/>
    </row>
    <row r="113" spans="15:15" x14ac:dyDescent="0.25">
      <c r="O113" s="127"/>
    </row>
    <row r="114" spans="15:15" x14ac:dyDescent="0.25">
      <c r="O114" s="127"/>
    </row>
    <row r="115" spans="15:15" x14ac:dyDescent="0.25">
      <c r="O115" s="127"/>
    </row>
    <row r="116" spans="15:15" x14ac:dyDescent="0.25">
      <c r="O116" s="127"/>
    </row>
    <row r="117" spans="15:15" x14ac:dyDescent="0.25">
      <c r="O117" s="127"/>
    </row>
    <row r="118" spans="15:15" x14ac:dyDescent="0.25">
      <c r="O118" s="127"/>
    </row>
    <row r="119" spans="15:15" x14ac:dyDescent="0.25">
      <c r="O119" s="127"/>
    </row>
    <row r="120" spans="15:15" x14ac:dyDescent="0.25">
      <c r="O120" s="127"/>
    </row>
    <row r="121" spans="15:15" x14ac:dyDescent="0.25">
      <c r="O121" s="127"/>
    </row>
    <row r="122" spans="15:15" x14ac:dyDescent="0.25">
      <c r="O122" s="127"/>
    </row>
    <row r="123" spans="15:15" x14ac:dyDescent="0.25">
      <c r="O123" s="127"/>
    </row>
    <row r="124" spans="15:15" x14ac:dyDescent="0.25">
      <c r="O124" s="127"/>
    </row>
    <row r="125" spans="15:15" x14ac:dyDescent="0.25">
      <c r="O125" s="127"/>
    </row>
    <row r="126" spans="15:15" x14ac:dyDescent="0.25">
      <c r="O126" s="127"/>
    </row>
    <row r="127" spans="15:15" x14ac:dyDescent="0.25">
      <c r="O127" s="127"/>
    </row>
  </sheetData>
  <sheetProtection password="CF27" sheet="1" objects="1" scenarios="1"/>
  <customSheetViews>
    <customSheetView guid="{C5ECCA7E-81F6-46F5-BEA0-A5F2DAD22AC9}" scale="90" topLeftCell="A9">
      <selection activeCell="AO25" sqref="AO25"/>
      <pageMargins left="0.7" right="0.7" top="0.75" bottom="0.75" header="0.3" footer="0.3"/>
      <pageSetup orientation="portrait" r:id="rId1"/>
    </customSheetView>
    <customSheetView guid="{40D14490-07BB-46F3-8435-9C462BE853EE}" scale="90" topLeftCell="A9">
      <selection activeCell="AO25" sqref="AO25"/>
      <pageMargins left="0.7" right="0.7" top="0.75" bottom="0.75" header="0.3" footer="0.3"/>
      <pageSetup orientation="portrait" r:id="rId2"/>
    </customSheetView>
  </customSheetViews>
  <mergeCells count="7">
    <mergeCell ref="F45:K45"/>
    <mergeCell ref="F44:M44"/>
    <mergeCell ref="E31:E37"/>
    <mergeCell ref="J35:J40"/>
    <mergeCell ref="A11:B16"/>
    <mergeCell ref="F31:F37"/>
    <mergeCell ref="B45:C45"/>
  </mergeCell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election activeCell="R11" sqref="R11"/>
    </sheetView>
  </sheetViews>
  <sheetFormatPr defaultRowHeight="12.5" x14ac:dyDescent="0.25"/>
  <sheetData/>
  <sheetProtection password="CF27" sheet="1" objects="1" scenarios="1"/>
  <customSheetViews>
    <customSheetView guid="{C5ECCA7E-81F6-46F5-BEA0-A5F2DAD22AC9}">
      <selection activeCell="R11" sqref="R11"/>
      <pageMargins left="0.7" right="0.7" top="0.75" bottom="0.75" header="0.3" footer="0.3"/>
    </customSheetView>
    <customSheetView guid="{40D14490-07BB-46F3-8435-9C462BE853EE}">
      <selection activeCell="R11" sqref="R11"/>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54"/>
  <sheetViews>
    <sheetView topLeftCell="A26" zoomScale="85" zoomScaleNormal="85" workbookViewId="0">
      <selection activeCell="E51" sqref="E51"/>
    </sheetView>
  </sheetViews>
  <sheetFormatPr defaultRowHeight="12.5" x14ac:dyDescent="0.25"/>
  <sheetData>
    <row r="1" spans="1:2" x14ac:dyDescent="0.25">
      <c r="A1" s="284"/>
      <c r="B1" t="s">
        <v>323</v>
      </c>
    </row>
    <row r="23" spans="2:18" ht="12.75" customHeight="1" x14ac:dyDescent="0.25">
      <c r="K23" s="496" t="s">
        <v>324</v>
      </c>
      <c r="L23" s="496"/>
      <c r="M23" s="496"/>
      <c r="N23" s="496"/>
      <c r="O23" s="496"/>
      <c r="P23" s="496"/>
      <c r="Q23" s="496"/>
      <c r="R23" s="496"/>
    </row>
    <row r="24" spans="2:18" x14ac:dyDescent="0.25">
      <c r="K24" s="496"/>
      <c r="L24" s="496"/>
      <c r="M24" s="496"/>
      <c r="N24" s="496"/>
      <c r="O24" s="496"/>
      <c r="P24" s="496"/>
      <c r="Q24" s="496"/>
      <c r="R24" s="496"/>
    </row>
    <row r="25" spans="2:18" x14ac:dyDescent="0.25">
      <c r="K25" s="496"/>
      <c r="L25" s="496"/>
      <c r="M25" s="496"/>
      <c r="N25" s="496"/>
      <c r="O25" s="496"/>
      <c r="P25" s="496"/>
      <c r="Q25" s="496"/>
      <c r="R25" s="496"/>
    </row>
    <row r="26" spans="2:18" x14ac:dyDescent="0.25">
      <c r="K26" s="496"/>
      <c r="L26" s="496"/>
      <c r="M26" s="496"/>
      <c r="N26" s="496"/>
      <c r="O26" s="496"/>
      <c r="P26" s="496"/>
      <c r="Q26" s="496"/>
      <c r="R26" s="496"/>
    </row>
    <row r="27" spans="2:18" x14ac:dyDescent="0.25">
      <c r="K27" s="496"/>
      <c r="L27" s="496"/>
      <c r="M27" s="496"/>
      <c r="N27" s="496"/>
      <c r="O27" s="496"/>
      <c r="P27" s="496"/>
      <c r="Q27" s="496"/>
      <c r="R27" s="496"/>
    </row>
    <row r="28" spans="2:18" x14ac:dyDescent="0.25">
      <c r="K28" s="496"/>
      <c r="L28" s="496"/>
      <c r="M28" s="496"/>
      <c r="N28" s="496"/>
      <c r="O28" s="496"/>
      <c r="P28" s="496"/>
      <c r="Q28" s="496"/>
      <c r="R28" s="496"/>
    </row>
    <row r="29" spans="2:18" ht="37.5" x14ac:dyDescent="0.25">
      <c r="B29" s="346"/>
      <c r="C29" s="347" t="s">
        <v>321</v>
      </c>
      <c r="D29" s="347" t="s">
        <v>322</v>
      </c>
      <c r="K29" s="496"/>
      <c r="L29" s="496"/>
      <c r="M29" s="496"/>
      <c r="N29" s="496"/>
      <c r="O29" s="496"/>
      <c r="P29" s="496"/>
      <c r="Q29" s="496"/>
      <c r="R29" s="496"/>
    </row>
    <row r="30" spans="2:18" x14ac:dyDescent="0.25">
      <c r="B30" s="346">
        <v>40544</v>
      </c>
      <c r="C30" s="284"/>
      <c r="D30" s="284"/>
    </row>
    <row r="31" spans="2:18" x14ac:dyDescent="0.25">
      <c r="B31" s="346">
        <v>40558</v>
      </c>
      <c r="C31">
        <f>IF('Current version'!BA5="","NA",'Current version'!BA5/'Current version'!BA4)-1</f>
        <v>-7.3399166893701517E-2</v>
      </c>
      <c r="D31" s="284">
        <f>('Current version'!BQ5/'Current version'!BQ4)-1</f>
        <v>0</v>
      </c>
    </row>
    <row r="32" spans="2:18" x14ac:dyDescent="0.25">
      <c r="B32" s="346">
        <v>40575</v>
      </c>
      <c r="C32">
        <f>IF('Current version'!BA6="","NA",'Current version'!BA6/'Current version'!BA5)-1</f>
        <v>8.2678537267374175E-2</v>
      </c>
      <c r="D32" s="284">
        <f>('Current version'!BQ6/'Current version'!BQ5)-1</f>
        <v>0</v>
      </c>
    </row>
    <row r="33" spans="2:4" x14ac:dyDescent="0.25">
      <c r="B33" s="346">
        <v>40589</v>
      </c>
      <c r="C33">
        <f>IF('Current version'!BA7="","NA",'Current version'!BA7/'Current version'!BA6)-1</f>
        <v>0.24022442086289875</v>
      </c>
      <c r="D33" s="284">
        <f>('Current version'!BQ7/'Current version'!BQ6)-1</f>
        <v>-0.125</v>
      </c>
    </row>
    <row r="34" spans="2:4" x14ac:dyDescent="0.25">
      <c r="B34" s="346">
        <v>40603</v>
      </c>
      <c r="C34">
        <f>IF('Current version'!BA8="","NA",'Current version'!BA8/'Current version'!BA7)-1</f>
        <v>0.27531034860799775</v>
      </c>
      <c r="D34" s="284">
        <f>('Current version'!BQ8/'Current version'!BQ7)-1</f>
        <v>0</v>
      </c>
    </row>
    <row r="35" spans="2:4" x14ac:dyDescent="0.25">
      <c r="B35" s="346">
        <v>40617</v>
      </c>
      <c r="C35">
        <f>IF('Current version'!BA9="","NA",'Current version'!BA9/'Current version'!BA8)-1</f>
        <v>0.30656249467657171</v>
      </c>
      <c r="D35" s="284">
        <f>('Current version'!BQ9/'Current version'!BQ8)-1</f>
        <v>-0.1428571428571429</v>
      </c>
    </row>
    <row r="36" spans="2:4" x14ac:dyDescent="0.25">
      <c r="B36" s="346">
        <v>40634</v>
      </c>
      <c r="C36">
        <f>IF('Current version'!BA10="","NA",'Current version'!BA10/'Current version'!BA9)-1</f>
        <v>0.40275096711035152</v>
      </c>
      <c r="D36" s="284">
        <f>('Current version'!BQ10/'Current version'!BQ9)-1</f>
        <v>0</v>
      </c>
    </row>
    <row r="37" spans="2:4" x14ac:dyDescent="0.25">
      <c r="B37" s="346">
        <v>40648</v>
      </c>
      <c r="C37">
        <f>IF('Current version'!BA11="","NA",'Current version'!BA11/'Current version'!BA10)-1</f>
        <v>0.55742031819652538</v>
      </c>
      <c r="D37" s="284">
        <f>('Current version'!BQ11/'Current version'!BQ10)-1</f>
        <v>0.33333333333333326</v>
      </c>
    </row>
    <row r="38" spans="2:4" x14ac:dyDescent="0.25">
      <c r="B38" s="346">
        <v>40664</v>
      </c>
      <c r="C38">
        <f>IF('Current version'!BA12="","NA",'Current version'!BA12/'Current version'!BA11)-1</f>
        <v>0.57508373846029137</v>
      </c>
      <c r="D38" s="284">
        <f>('Current version'!BQ12/'Current version'!BQ11)-1</f>
        <v>0.375</v>
      </c>
    </row>
    <row r="39" spans="2:4" x14ac:dyDescent="0.25">
      <c r="B39" s="346">
        <v>40678</v>
      </c>
      <c r="C39">
        <f>IF('Current version'!BA13="","NA",'Current version'!BA13/'Current version'!BA12)-1</f>
        <v>0.55707324548726578</v>
      </c>
      <c r="D39" s="284">
        <f>('Current version'!BQ13/'Current version'!BQ12)-1</f>
        <v>0.36363636363636354</v>
      </c>
    </row>
    <row r="40" spans="2:4" x14ac:dyDescent="0.25">
      <c r="B40" s="346">
        <v>40695</v>
      </c>
      <c r="C40">
        <f>IF('Current version'!BA14="","NA",'Current version'!BA14/'Current version'!BA13)-1</f>
        <v>0.50784368289643855</v>
      </c>
      <c r="D40" s="284">
        <f>('Current version'!BQ14/'Current version'!BQ13)-1</f>
        <v>0.26666666666666661</v>
      </c>
    </row>
    <row r="41" spans="2:4" x14ac:dyDescent="0.25">
      <c r="B41" s="346">
        <v>40709</v>
      </c>
      <c r="C41">
        <f>IF('Current version'!BA15="","NA",'Current version'!BA15/'Current version'!BA14)-1</f>
        <v>0.46421935588430063</v>
      </c>
      <c r="D41" s="284">
        <f>('Current version'!BQ15/'Current version'!BQ14)-1</f>
        <v>0.15789473684210531</v>
      </c>
    </row>
    <row r="42" spans="2:4" x14ac:dyDescent="0.25">
      <c r="B42" s="346">
        <v>40725</v>
      </c>
      <c r="C42">
        <f>IF('Current version'!BA16="","NA",'Current version'!BA16/'Current version'!BA15)-1</f>
        <v>0.40566236867517214</v>
      </c>
      <c r="D42" s="284">
        <f>('Current version'!BQ16/'Current version'!BQ15)-1</f>
        <v>9.0909090909090828E-2</v>
      </c>
    </row>
    <row r="43" spans="2:4" x14ac:dyDescent="0.25">
      <c r="B43" s="346">
        <v>40739</v>
      </c>
      <c r="C43">
        <f>IF('Current version'!BA17="","NA",'Current version'!BA17/'Current version'!BA16)-1</f>
        <v>0.37268957490275767</v>
      </c>
      <c r="D43" s="284">
        <f>('Current version'!BQ17/'Current version'!BQ16)-1</f>
        <v>4.1666666666666741E-2</v>
      </c>
    </row>
    <row r="44" spans="2:4" x14ac:dyDescent="0.25">
      <c r="B44" s="346">
        <v>40756</v>
      </c>
      <c r="C44">
        <f>IF('Current version'!BA18="","NA",'Current version'!BA18/'Current version'!BA17)-1</f>
        <v>0.32564080918159943</v>
      </c>
      <c r="D44" s="284">
        <f>('Current version'!BQ18/'Current version'!BQ17)-1</f>
        <v>0</v>
      </c>
    </row>
    <row r="45" spans="2:4" x14ac:dyDescent="0.25">
      <c r="B45" s="346">
        <v>40770</v>
      </c>
      <c r="C45">
        <f>IF('Current version'!BA19="","NA",'Current version'!BA19/'Current version'!BA18)-1</f>
        <v>0.30793352177237066</v>
      </c>
      <c r="D45" s="284">
        <f>('Current version'!BQ19/'Current version'!BQ18)-1</f>
        <v>-0.12</v>
      </c>
    </row>
    <row r="46" spans="2:4" x14ac:dyDescent="0.25">
      <c r="B46" s="346">
        <v>40787</v>
      </c>
      <c r="C46">
        <f>IF('Current version'!BA20="","NA",'Current version'!BA20/'Current version'!BA19)-1</f>
        <v>0.26532902968800265</v>
      </c>
      <c r="D46" s="284">
        <f>('Current version'!BQ20/'Current version'!BQ19)-1</f>
        <v>-0.13636363636363635</v>
      </c>
    </row>
    <row r="47" spans="2:4" x14ac:dyDescent="0.25">
      <c r="B47" s="346">
        <v>40801</v>
      </c>
      <c r="C47">
        <f>IF('Current version'!BA21="","NA",'Current version'!BA21/'Current version'!BA20)-1</f>
        <v>0.22415379369442889</v>
      </c>
      <c r="D47" s="284">
        <f>('Current version'!BQ21/'Current version'!BQ20)-1</f>
        <v>-0.15789473684210531</v>
      </c>
    </row>
    <row r="48" spans="2:4" x14ac:dyDescent="0.25">
      <c r="B48" s="346">
        <v>40817</v>
      </c>
      <c r="C48">
        <f>IF('Current version'!BA22="","NA",'Current version'!BA22/'Current version'!BA21)-1</f>
        <v>-0.94098011165080531</v>
      </c>
      <c r="D48" s="284">
        <f>('Current version'!BQ22/'Current version'!BQ21)-1</f>
        <v>-6.25E-2</v>
      </c>
    </row>
    <row r="49" spans="2:4" x14ac:dyDescent="0.25">
      <c r="B49" s="346">
        <v>40831</v>
      </c>
      <c r="C49">
        <f>IF('Current version'!BA23="","NA",'Current version'!BA23/'Current version'!BA22)-1</f>
        <v>0.18121595650000888</v>
      </c>
      <c r="D49" s="284">
        <f>('Current version'!BQ23/'Current version'!BQ22)-1</f>
        <v>-0.19999999999999996</v>
      </c>
    </row>
    <row r="50" spans="2:4" x14ac:dyDescent="0.25">
      <c r="B50" s="346">
        <v>40848</v>
      </c>
      <c r="C50">
        <f>IF('Current version'!BA24="","NA",'Current version'!BA24/'Current version'!BA23)-1</f>
        <v>3.6557309732481391E-2</v>
      </c>
      <c r="D50" s="284">
        <f>('Current version'!BQ24/'Current version'!BQ23)-1</f>
        <v>-0.25</v>
      </c>
    </row>
    <row r="51" spans="2:4" x14ac:dyDescent="0.25">
      <c r="B51" s="346">
        <v>40862</v>
      </c>
      <c r="C51">
        <f>IF('Current version'!BA25="","NA",'Current version'!BA25/'Current version'!BA24)-1</f>
        <v>-0.31928296089301889</v>
      </c>
      <c r="D51" s="284">
        <f>('Current version'!BQ25/'Current version'!BQ24)-1</f>
        <v>-5.555555555555558E-2</v>
      </c>
    </row>
    <row r="52" spans="2:4" x14ac:dyDescent="0.25">
      <c r="B52" s="346">
        <v>40878</v>
      </c>
      <c r="C52">
        <f>IF('Current version'!BA26="","NA",'Current version'!BA26/'Current version'!BA25)-1</f>
        <v>-0.10871743895252528</v>
      </c>
      <c r="D52" s="284">
        <f>('Current version'!BQ26/'Current version'!BQ25)-1</f>
        <v>-2.9411764705882359E-2</v>
      </c>
    </row>
    <row r="53" spans="2:4" x14ac:dyDescent="0.25">
      <c r="B53" s="346">
        <v>40892</v>
      </c>
      <c r="C53">
        <f>IF('Current version'!BA27="","NA",'Current version'!BA27/'Current version'!BA26)-1</f>
        <v>-9.1605871439156217E-2</v>
      </c>
      <c r="D53" s="284">
        <f>('Current version'!BQ27/'Current version'!BQ26)-1</f>
        <v>-3.0303030303030276E-2</v>
      </c>
    </row>
    <row r="54" spans="2:4" x14ac:dyDescent="0.25">
      <c r="B54" s="346">
        <v>40908</v>
      </c>
      <c r="C54">
        <f>IF('Current version'!BA28="","NA",'Current version'!BA28/'Current version'!BA27)-1</f>
        <v>-9.2174830956201714E-2</v>
      </c>
      <c r="D54" s="284">
        <f>('Current version'!BQ28/'Current version'!BQ27)-1</f>
        <v>0</v>
      </c>
    </row>
  </sheetData>
  <sheetProtection password="CF27" sheet="1" objects="1" scenarios="1"/>
  <customSheetViews>
    <customSheetView guid="{C5ECCA7E-81F6-46F5-BEA0-A5F2DAD22AC9}" scale="85">
      <selection activeCell="R32" sqref="R32"/>
      <pageMargins left="0.7" right="0.7" top="0.75" bottom="0.75" header="0.3" footer="0.3"/>
    </customSheetView>
    <customSheetView guid="{40D14490-07BB-46F3-8435-9C462BE853EE}" scale="85">
      <selection activeCell="R32" sqref="R32"/>
      <pageMargins left="0.7" right="0.7" top="0.75" bottom="0.75" header="0.3" footer="0.3"/>
    </customSheetView>
  </customSheetViews>
  <mergeCells count="1">
    <mergeCell ref="K23:R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topLeftCell="A11" workbookViewId="0">
      <selection activeCell="M33" sqref="M33"/>
    </sheetView>
  </sheetViews>
  <sheetFormatPr defaultRowHeight="12.5" x14ac:dyDescent="0.25"/>
  <sheetData>
    <row r="3" spans="2:8" x14ac:dyDescent="0.25">
      <c r="B3" s="424" t="s">
        <v>170</v>
      </c>
      <c r="C3" s="424" t="s">
        <v>168</v>
      </c>
      <c r="D3" s="223" t="s">
        <v>362</v>
      </c>
      <c r="E3" t="s">
        <v>363</v>
      </c>
      <c r="F3" t="s">
        <v>364</v>
      </c>
      <c r="G3" t="s">
        <v>365</v>
      </c>
      <c r="H3" t="s">
        <v>366</v>
      </c>
    </row>
    <row r="4" spans="2:8" ht="13" x14ac:dyDescent="0.3">
      <c r="B4" s="127">
        <v>0</v>
      </c>
      <c r="C4" s="127"/>
      <c r="D4" s="427">
        <v>10</v>
      </c>
      <c r="E4" s="139">
        <v>25</v>
      </c>
      <c r="F4" s="139">
        <v>50</v>
      </c>
      <c r="G4" s="139">
        <v>100</v>
      </c>
      <c r="H4" s="139">
        <v>150</v>
      </c>
    </row>
    <row r="5" spans="2:8" ht="13" x14ac:dyDescent="0.3">
      <c r="B5" s="127">
        <v>1</v>
      </c>
      <c r="C5" s="225">
        <v>2.1000000000000001E-2</v>
      </c>
      <c r="D5" s="226">
        <f t="shared" ref="D5:D11" si="0">D4*EXP($C5*30)</f>
        <v>18.776105792643431</v>
      </c>
      <c r="E5" s="226">
        <f t="shared" ref="E5:H10" si="1">E4*EXP($C5*30)</f>
        <v>46.94026448160858</v>
      </c>
      <c r="F5" s="226">
        <f t="shared" si="1"/>
        <v>93.880528963217159</v>
      </c>
      <c r="G5" s="226">
        <f t="shared" si="1"/>
        <v>187.76105792643432</v>
      </c>
      <c r="H5" s="226">
        <f t="shared" si="1"/>
        <v>281.64158688965148</v>
      </c>
    </row>
    <row r="6" spans="2:8" ht="13" x14ac:dyDescent="0.3">
      <c r="B6" s="127">
        <v>2</v>
      </c>
      <c r="C6" s="225">
        <v>2.1000000000000001E-2</v>
      </c>
      <c r="D6" s="226">
        <f t="shared" si="0"/>
        <v>35.254214873653822</v>
      </c>
      <c r="E6" s="226">
        <f t="shared" si="1"/>
        <v>88.135537184134563</v>
      </c>
      <c r="F6" s="226">
        <f t="shared" si="1"/>
        <v>176.27107436826913</v>
      </c>
      <c r="G6" s="226">
        <f t="shared" si="1"/>
        <v>352.54214873653825</v>
      </c>
      <c r="H6" s="226">
        <f t="shared" si="1"/>
        <v>528.81322310480732</v>
      </c>
    </row>
    <row r="7" spans="2:8" ht="13" x14ac:dyDescent="0.3">
      <c r="B7" s="127">
        <v>3</v>
      </c>
      <c r="C7" s="225">
        <v>2.1000000000000001E-2</v>
      </c>
      <c r="D7" s="226">
        <f t="shared" si="0"/>
        <v>66.193686810430776</v>
      </c>
      <c r="E7" s="226">
        <f t="shared" si="1"/>
        <v>165.48421702607695</v>
      </c>
      <c r="F7" s="226">
        <f t="shared" si="1"/>
        <v>330.9684340521539</v>
      </c>
      <c r="G7" s="226">
        <f t="shared" si="1"/>
        <v>661.93686810430779</v>
      </c>
      <c r="H7" s="226">
        <f t="shared" si="1"/>
        <v>992.90530215646163</v>
      </c>
    </row>
    <row r="8" spans="2:8" ht="13" x14ac:dyDescent="0.3">
      <c r="B8" s="127">
        <v>4</v>
      </c>
      <c r="C8" s="225">
        <v>2.1000000000000001E-2</v>
      </c>
      <c r="D8" s="226">
        <f t="shared" si="0"/>
        <v>124.28596663577544</v>
      </c>
      <c r="E8" s="226">
        <f t="shared" si="1"/>
        <v>310.71491658943864</v>
      </c>
      <c r="F8" s="226">
        <f t="shared" si="1"/>
        <v>621.42983317887729</v>
      </c>
      <c r="G8" s="226">
        <f t="shared" si="1"/>
        <v>1242.8596663577546</v>
      </c>
      <c r="H8" s="226">
        <f t="shared" si="1"/>
        <v>1864.2894995366316</v>
      </c>
    </row>
    <row r="9" spans="2:8" ht="13" x14ac:dyDescent="0.3">
      <c r="B9" s="127">
        <v>5</v>
      </c>
      <c r="C9" s="225">
        <v>2.1000000000000001E-2</v>
      </c>
      <c r="D9" s="226">
        <f t="shared" si="0"/>
        <v>233.36064580942715</v>
      </c>
      <c r="E9" s="226">
        <f t="shared" si="1"/>
        <v>583.40161452356801</v>
      </c>
      <c r="F9" s="226">
        <f t="shared" si="1"/>
        <v>1166.803229047136</v>
      </c>
      <c r="G9" s="226">
        <f t="shared" si="1"/>
        <v>2333.6064580942721</v>
      </c>
      <c r="H9" s="226">
        <f t="shared" si="1"/>
        <v>3500.4096871414072</v>
      </c>
    </row>
    <row r="10" spans="2:8" ht="13" x14ac:dyDescent="0.3">
      <c r="B10" s="127">
        <v>6</v>
      </c>
      <c r="C10" s="225">
        <v>2.1000000000000001E-2</v>
      </c>
      <c r="D10" s="226">
        <f t="shared" si="0"/>
        <v>438.16041735573975</v>
      </c>
      <c r="E10" s="226">
        <f t="shared" si="1"/>
        <v>1095.4010433893495</v>
      </c>
      <c r="F10" s="226">
        <f t="shared" si="1"/>
        <v>2190.802086778699</v>
      </c>
      <c r="G10" s="226">
        <f t="shared" si="1"/>
        <v>4381.6041735573981</v>
      </c>
      <c r="H10" s="226">
        <f t="shared" si="1"/>
        <v>6572.4062603360953</v>
      </c>
    </row>
    <row r="11" spans="2:8" ht="13" x14ac:dyDescent="0.3">
      <c r="B11" s="127">
        <v>7</v>
      </c>
      <c r="C11" s="225">
        <v>2.1000000000000001E-2</v>
      </c>
      <c r="D11" s="226">
        <f t="shared" si="0"/>
        <v>822.6946350420169</v>
      </c>
      <c r="E11" s="226">
        <f>E10*EXP($C11*30)</f>
        <v>2056.7365876050426</v>
      </c>
      <c r="F11" s="226">
        <f>F10*EXP($C11*30)</f>
        <v>4113.4731752100852</v>
      </c>
      <c r="G11" s="226">
        <f>G10*EXP($C11*30)</f>
        <v>8226.9463504201703</v>
      </c>
      <c r="H11" s="226">
        <f>H10*EXP($C11*30)</f>
        <v>12340.419525630252</v>
      </c>
    </row>
    <row r="12" spans="2:8" ht="13" x14ac:dyDescent="0.3">
      <c r="B12" s="127"/>
      <c r="C12" s="225"/>
      <c r="D12" s="226"/>
      <c r="E12" s="226"/>
      <c r="F12" s="226"/>
      <c r="G12" s="226"/>
      <c r="H12" s="226"/>
    </row>
    <row r="13" spans="2:8" ht="13" x14ac:dyDescent="0.3">
      <c r="B13" s="127"/>
      <c r="C13" s="225"/>
      <c r="D13" s="226"/>
      <c r="E13" s="226"/>
      <c r="F13" s="226"/>
      <c r="G13" s="226"/>
      <c r="H13" s="226"/>
    </row>
    <row r="14" spans="2:8" ht="13" x14ac:dyDescent="0.3">
      <c r="B14" s="127"/>
      <c r="C14" s="225"/>
      <c r="D14" s="226"/>
      <c r="E14" s="226"/>
      <c r="F14" s="226"/>
      <c r="G14" s="226"/>
      <c r="H14" s="226"/>
    </row>
    <row r="15" spans="2:8" ht="13" x14ac:dyDescent="0.3">
      <c r="B15" s="127"/>
      <c r="C15" s="225"/>
      <c r="D15" s="226"/>
      <c r="E15" s="226"/>
      <c r="F15" s="226"/>
      <c r="G15" s="226"/>
      <c r="H15" s="226"/>
    </row>
    <row r="16" spans="2:8" ht="13" x14ac:dyDescent="0.3">
      <c r="B16" s="127"/>
      <c r="C16" s="225"/>
      <c r="D16" s="226"/>
      <c r="E16" s="226"/>
      <c r="F16" s="226"/>
      <c r="G16" s="226"/>
      <c r="H16" s="226"/>
    </row>
  </sheetData>
  <sheetProtection password="CF27" sheet="1" objects="1" scenarios="1"/>
  <customSheetViews>
    <customSheetView guid="{C5ECCA7E-81F6-46F5-BEA0-A5F2DAD22AC9}" topLeftCell="A11">
      <selection activeCell="M33" sqref="M33"/>
      <pageMargins left="0.7" right="0.7" top="0.75" bottom="0.75" header="0.3" footer="0.3"/>
    </customSheetView>
    <customSheetView guid="{40D14490-07BB-46F3-8435-9C462BE853EE}" topLeftCell="A11">
      <selection activeCell="M33" sqref="M33"/>
      <pageMargins left="0.7" right="0.7" top="0.75" bottom="0.75" header="0.3" footer="0.3"/>
    </customSheetView>
  </customSheetView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Current version</vt:lpstr>
      <vt:lpstr>Colony Type</vt:lpstr>
      <vt:lpstr>Mite Immigration</vt:lpstr>
      <vt:lpstr>r values </vt:lpstr>
      <vt:lpstr>About this model</vt:lpstr>
      <vt:lpstr>Necessary mite reduction</vt:lpstr>
      <vt:lpstr>Notes for this version</vt:lpstr>
      <vt:lpstr>Relative rates of increase</vt:lpstr>
      <vt:lpstr>Starting level</vt:lpstr>
      <vt:lpstr>Data to evaluate</vt:lpstr>
      <vt:lpstr>Brood break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Oliver</dc:creator>
  <cp:lastModifiedBy>Randy Oliver</cp:lastModifiedBy>
  <dcterms:created xsi:type="dcterms:W3CDTF">2016-09-25T17:34:02Z</dcterms:created>
  <dcterms:modified xsi:type="dcterms:W3CDTF">2021-08-22T13:19:55Z</dcterms:modified>
</cp:coreProperties>
</file>