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d.docs.live.net/830a71c3eec52a59/Documents/@Research projects/Calculators and models/"/>
    </mc:Choice>
  </mc:AlternateContent>
  <xr:revisionPtr revIDLastSave="1" documentId="8_{D9C3CF27-F7CF-482D-9082-71A08E3E9B63}" xr6:coauthVersionLast="47" xr6:coauthVersionMax="47" xr10:uidLastSave="{55A47474-BF9F-4369-88E1-8DC15C48F930}"/>
  <bookViews>
    <workbookView xWindow="-120" yWindow="-120" windowWidth="29040" windowHeight="15720" xr2:uid="{A31C7090-92C9-4DC8-BEFE-A9E0867312A1}"/>
  </bookViews>
  <sheets>
    <sheet name="The model" sheetId="1" r:id="rId1"/>
  </sheets>
  <definedNames>
    <definedName name="a">#REF!</definedName>
    <definedName name="abc">#REF!</definedName>
    <definedName name="abs">#REF!</definedName>
    <definedName name="b">#REF!</definedName>
    <definedName name="d">#REF!</definedName>
    <definedName name="x">#REF!</definedName>
    <definedName name="xxx">#REF!</definedName>
    <definedName name="xxx1">#REF!</definedName>
    <definedName name="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114" i="1" l="1"/>
  <c r="BC114" i="1" s="1"/>
  <c r="AV114" i="1"/>
  <c r="AT114" i="1"/>
  <c r="AN114" i="1"/>
  <c r="O114" i="1"/>
  <c r="AR114" i="1" s="1"/>
  <c r="AY113" i="1"/>
  <c r="BC113" i="1" s="1"/>
  <c r="AV113" i="1"/>
  <c r="AT113" i="1"/>
  <c r="AP113" i="1"/>
  <c r="O113" i="1" s="1"/>
  <c r="AR113" i="1" s="1"/>
  <c r="AY112" i="1"/>
  <c r="BC112" i="1" s="1"/>
  <c r="AV112" i="1"/>
  <c r="AT112" i="1"/>
  <c r="O112" i="1"/>
  <c r="AY111" i="1"/>
  <c r="BC111" i="1" s="1"/>
  <c r="AV111" i="1"/>
  <c r="AT111" i="1"/>
  <c r="AQ111" i="1"/>
  <c r="AO111" i="1"/>
  <c r="AM111" i="1"/>
  <c r="O111" i="1" s="1"/>
  <c r="AY110" i="1"/>
  <c r="BC110" i="1" s="1"/>
  <c r="AV110" i="1"/>
  <c r="AT110" i="1"/>
  <c r="O110" i="1"/>
  <c r="AY109" i="1"/>
  <c r="BC109" i="1" s="1"/>
  <c r="AV109" i="1"/>
  <c r="AT109" i="1"/>
  <c r="AN109" i="1"/>
  <c r="O109" i="1"/>
  <c r="AY108" i="1"/>
  <c r="BC108" i="1" s="1"/>
  <c r="AV108" i="1"/>
  <c r="AT108" i="1"/>
  <c r="O108" i="1"/>
  <c r="AY107" i="1"/>
  <c r="BC107" i="1" s="1"/>
  <c r="AV107" i="1"/>
  <c r="AT107" i="1"/>
  <c r="AM107" i="1"/>
  <c r="O107" i="1" s="1"/>
  <c r="AY106" i="1"/>
  <c r="BC106" i="1" s="1"/>
  <c r="AV106" i="1"/>
  <c r="AT106" i="1"/>
  <c r="O106" i="1"/>
  <c r="AY105" i="1"/>
  <c r="BC105" i="1" s="1"/>
  <c r="AV105" i="1"/>
  <c r="AT105" i="1"/>
  <c r="O105" i="1"/>
  <c r="AY104" i="1"/>
  <c r="BC104" i="1" s="1"/>
  <c r="AV104" i="1"/>
  <c r="AT104" i="1"/>
  <c r="AO104" i="1"/>
  <c r="AN104" i="1"/>
  <c r="O104" i="1"/>
  <c r="AY103" i="1"/>
  <c r="BC103" i="1" s="1"/>
  <c r="AV103" i="1"/>
  <c r="AT103" i="1"/>
  <c r="AP103" i="1"/>
  <c r="AM103" i="1"/>
  <c r="O103" i="1" s="1"/>
  <c r="AY102" i="1"/>
  <c r="BC102" i="1" s="1"/>
  <c r="AV102" i="1"/>
  <c r="AT102" i="1"/>
  <c r="O102" i="1"/>
  <c r="AY101" i="1"/>
  <c r="BC101" i="1" s="1"/>
  <c r="AV101" i="1"/>
  <c r="AT101" i="1"/>
  <c r="O101" i="1"/>
  <c r="AY100" i="1"/>
  <c r="BC100" i="1" s="1"/>
  <c r="AV100" i="1"/>
  <c r="AT100" i="1"/>
  <c r="O100" i="1"/>
  <c r="AY99" i="1"/>
  <c r="BC99" i="1" s="1"/>
  <c r="AV99" i="1"/>
  <c r="AT99" i="1"/>
  <c r="AN99" i="1"/>
  <c r="AM99" i="1"/>
  <c r="O99" i="1" s="1"/>
  <c r="AY98" i="1"/>
  <c r="BC98" i="1" s="1"/>
  <c r="AV98" i="1"/>
  <c r="AT98" i="1"/>
  <c r="O98" i="1"/>
  <c r="AY97" i="1"/>
  <c r="BC97" i="1" s="1"/>
  <c r="AV97" i="1"/>
  <c r="AT97" i="1"/>
  <c r="AQ97" i="1"/>
  <c r="AO97" i="1"/>
  <c r="O97" i="1"/>
  <c r="AY96" i="1"/>
  <c r="BC96" i="1" s="1"/>
  <c r="AV96" i="1"/>
  <c r="AT96" i="1"/>
  <c r="O96" i="1"/>
  <c r="AY95" i="1"/>
  <c r="BC95" i="1" s="1"/>
  <c r="AV95" i="1"/>
  <c r="AT95" i="1"/>
  <c r="AM95" i="1"/>
  <c r="O95" i="1" s="1"/>
  <c r="AY94" i="1"/>
  <c r="BC94" i="1" s="1"/>
  <c r="AV94" i="1"/>
  <c r="AT94" i="1"/>
  <c r="AN94" i="1"/>
  <c r="O94" i="1"/>
  <c r="AY93" i="1"/>
  <c r="BC93" i="1" s="1"/>
  <c r="AV93" i="1"/>
  <c r="AT93" i="1"/>
  <c r="AP93" i="1"/>
  <c r="O93" i="1" s="1"/>
  <c r="AR93" i="1" s="1"/>
  <c r="AY92" i="1"/>
  <c r="BC92" i="1" s="1"/>
  <c r="AV92" i="1"/>
  <c r="AT92" i="1"/>
  <c r="O92" i="1"/>
  <c r="AV91" i="1"/>
  <c r="AT91" i="1"/>
  <c r="AM91" i="1"/>
  <c r="O91" i="1" s="1"/>
  <c r="AV90" i="1"/>
  <c r="AT90" i="1"/>
  <c r="AO90" i="1"/>
  <c r="O90" i="1"/>
  <c r="AR90" i="1" s="1"/>
  <c r="AV89" i="1"/>
  <c r="AT89" i="1"/>
  <c r="AN89" i="1"/>
  <c r="O89" i="1"/>
  <c r="AV88" i="1"/>
  <c r="AT88" i="1"/>
  <c r="O88" i="1"/>
  <c r="AR88" i="1" s="1"/>
  <c r="AV87" i="1"/>
  <c r="AT87" i="1"/>
  <c r="AM87" i="1"/>
  <c r="O87" i="1" s="1"/>
  <c r="AR87" i="1" s="1"/>
  <c r="AV86" i="1"/>
  <c r="AT86" i="1"/>
  <c r="O86" i="1"/>
  <c r="AV85" i="1"/>
  <c r="AT85" i="1"/>
  <c r="O85" i="1"/>
  <c r="AV84" i="1"/>
  <c r="AT84" i="1"/>
  <c r="AN84" i="1"/>
  <c r="O84" i="1"/>
  <c r="AV83" i="1"/>
  <c r="AT83" i="1"/>
  <c r="AQ83" i="1"/>
  <c r="AP83" i="1"/>
  <c r="AO83" i="1"/>
  <c r="AM83" i="1"/>
  <c r="O83" i="1" s="1"/>
  <c r="AV82" i="1"/>
  <c r="AT82" i="1"/>
  <c r="O82" i="1"/>
  <c r="AV81" i="1"/>
  <c r="AT81" i="1"/>
  <c r="O81" i="1"/>
  <c r="AR81" i="1" s="1"/>
  <c r="AV80" i="1"/>
  <c r="AT80" i="1"/>
  <c r="O80" i="1"/>
  <c r="AV79" i="1"/>
  <c r="AT79" i="1"/>
  <c r="AN79" i="1"/>
  <c r="AM79" i="1"/>
  <c r="O79" i="1" s="1"/>
  <c r="AV78" i="1"/>
  <c r="AT78" i="1"/>
  <c r="O78" i="1"/>
  <c r="AR78" i="1" s="1"/>
  <c r="AV77" i="1"/>
  <c r="AT77" i="1"/>
  <c r="O77" i="1"/>
  <c r="AR77" i="1" s="1"/>
  <c r="AV76" i="1"/>
  <c r="AT76" i="1"/>
  <c r="AO76" i="1"/>
  <c r="O76" i="1"/>
  <c r="AR76" i="1" s="1"/>
  <c r="AV75" i="1"/>
  <c r="AT75" i="1"/>
  <c r="AM75" i="1"/>
  <c r="O75" i="1" s="1"/>
  <c r="AV74" i="1"/>
  <c r="AT74" i="1"/>
  <c r="AN74" i="1"/>
  <c r="O74" i="1"/>
  <c r="AV73" i="1"/>
  <c r="AT73" i="1"/>
  <c r="AP73" i="1"/>
  <c r="O73" i="1" s="1"/>
  <c r="AV72" i="1"/>
  <c r="AT72" i="1"/>
  <c r="O72" i="1"/>
  <c r="AV71" i="1"/>
  <c r="AT71" i="1"/>
  <c r="AM71" i="1"/>
  <c r="O71" i="1" s="1"/>
  <c r="AV70" i="1"/>
  <c r="AT70" i="1"/>
  <c r="O70" i="1"/>
  <c r="AV69" i="1"/>
  <c r="AT69" i="1"/>
  <c r="AQ69" i="1"/>
  <c r="AO69" i="1"/>
  <c r="AN69" i="1"/>
  <c r="O69" i="1"/>
  <c r="AV68" i="1"/>
  <c r="AT68" i="1"/>
  <c r="O68" i="1"/>
  <c r="AV67" i="1"/>
  <c r="AT67" i="1"/>
  <c r="AM67" i="1"/>
  <c r="O67" i="1" s="1"/>
  <c r="AV66" i="1"/>
  <c r="AT66" i="1"/>
  <c r="O66" i="1"/>
  <c r="AV65" i="1"/>
  <c r="AT65" i="1"/>
  <c r="AP65" i="1"/>
  <c r="O65" i="1" s="1"/>
  <c r="AV64" i="1"/>
  <c r="AT64" i="1"/>
  <c r="AN64" i="1"/>
  <c r="O64" i="1"/>
  <c r="AV63" i="1"/>
  <c r="AT63" i="1"/>
  <c r="AM63" i="1"/>
  <c r="O63" i="1" s="1"/>
  <c r="AV62" i="1"/>
  <c r="AT62" i="1"/>
  <c r="AO62" i="1"/>
  <c r="O62" i="1"/>
  <c r="AV61" i="1"/>
  <c r="AT61" i="1"/>
  <c r="O61" i="1"/>
  <c r="AV60" i="1"/>
  <c r="AT60" i="1"/>
  <c r="AN60" i="1"/>
  <c r="O60" i="1"/>
  <c r="AV59" i="1"/>
  <c r="AT59" i="1"/>
  <c r="AM59" i="1"/>
  <c r="O59" i="1" s="1"/>
  <c r="AV58" i="1"/>
  <c r="AT58" i="1"/>
  <c r="T58" i="1"/>
  <c r="O58" i="1"/>
  <c r="AR58" i="1" s="1"/>
  <c r="AV57" i="1"/>
  <c r="AT57" i="1"/>
  <c r="T57" i="1"/>
  <c r="S57" i="1"/>
  <c r="O57" i="1"/>
  <c r="AV56" i="1"/>
  <c r="AT56" i="1"/>
  <c r="AI56" i="1"/>
  <c r="T56" i="1"/>
  <c r="S56" i="1"/>
  <c r="R56" i="1"/>
  <c r="O56" i="1"/>
  <c r="AV55" i="1"/>
  <c r="AT55" i="1"/>
  <c r="AQ55" i="1"/>
  <c r="AP55" i="1"/>
  <c r="AO55" i="1"/>
  <c r="AN55" i="1"/>
  <c r="AM55" i="1"/>
  <c r="AI55" i="1"/>
  <c r="T55" i="1"/>
  <c r="S55" i="1"/>
  <c r="R55" i="1"/>
  <c r="Q55" i="1"/>
  <c r="AV54" i="1"/>
  <c r="AT54" i="1"/>
  <c r="AI54" i="1"/>
  <c r="R54" i="1"/>
  <c r="Q54" i="1"/>
  <c r="AV53" i="1"/>
  <c r="AT53" i="1"/>
  <c r="AI53" i="1"/>
  <c r="R53" i="1"/>
  <c r="Q53" i="1"/>
  <c r="AV52" i="1"/>
  <c r="AT52" i="1"/>
  <c r="AI52" i="1"/>
  <c r="R52" i="1"/>
  <c r="Q52" i="1"/>
  <c r="I52" i="1"/>
  <c r="L42" i="1" s="1"/>
  <c r="AV51" i="1"/>
  <c r="AT51" i="1"/>
  <c r="AI51" i="1"/>
  <c r="R51" i="1"/>
  <c r="Q51" i="1"/>
  <c r="AV50" i="1"/>
  <c r="AT50" i="1"/>
  <c r="AI50" i="1"/>
  <c r="R50" i="1"/>
  <c r="Q50" i="1"/>
  <c r="AV49" i="1"/>
  <c r="AT49" i="1"/>
  <c r="AI49" i="1"/>
  <c r="R49" i="1"/>
  <c r="Q49" i="1"/>
  <c r="AV48" i="1"/>
  <c r="AT48" i="1"/>
  <c r="AI48" i="1"/>
  <c r="R48" i="1"/>
  <c r="Q48" i="1"/>
  <c r="AV47" i="1"/>
  <c r="AT47" i="1"/>
  <c r="AI47" i="1"/>
  <c r="R47" i="1"/>
  <c r="Q47" i="1"/>
  <c r="AV46" i="1"/>
  <c r="AT46" i="1"/>
  <c r="AI46" i="1"/>
  <c r="R46" i="1"/>
  <c r="Q46" i="1"/>
  <c r="AV45" i="1"/>
  <c r="AT45" i="1"/>
  <c r="AI45" i="1"/>
  <c r="R45" i="1"/>
  <c r="Q45" i="1"/>
  <c r="AV44" i="1"/>
  <c r="AT44" i="1"/>
  <c r="AI44" i="1"/>
  <c r="Q44" i="1"/>
  <c r="BA43" i="1"/>
  <c r="BA44" i="1" s="1"/>
  <c r="AX43" i="1"/>
  <c r="AX44" i="1" s="1"/>
  <c r="AV43" i="1"/>
  <c r="AT43" i="1"/>
  <c r="J43" i="1"/>
  <c r="J44" i="1" s="1"/>
  <c r="J45" i="1" s="1"/>
  <c r="J46" i="1" s="1"/>
  <c r="J47" i="1" s="1"/>
  <c r="J48" i="1" s="1"/>
  <c r="J49" i="1" s="1"/>
  <c r="J50" i="1" s="1"/>
  <c r="J51" i="1" s="1"/>
  <c r="J52" i="1" s="1"/>
  <c r="J53" i="1" s="1"/>
  <c r="AZ42" i="1"/>
  <c r="AZ43" i="1" s="1"/>
  <c r="AZ44" i="1" s="1"/>
  <c r="AZ45" i="1" s="1"/>
  <c r="AZ46" i="1" s="1"/>
  <c r="AZ47" i="1" s="1"/>
  <c r="AZ48" i="1" s="1"/>
  <c r="AZ49" i="1" s="1"/>
  <c r="AZ50" i="1" s="1"/>
  <c r="AV42" i="1"/>
  <c r="AT42" i="1"/>
  <c r="AY42" i="1" s="1"/>
  <c r="O55" i="1" l="1"/>
  <c r="AW103" i="1"/>
  <c r="M103" i="1" s="1"/>
  <c r="AW102" i="1"/>
  <c r="M102" i="1" s="1"/>
  <c r="AW66" i="1"/>
  <c r="AW99" i="1"/>
  <c r="M99" i="1" s="1"/>
  <c r="BB42" i="1"/>
  <c r="BD42" i="1" s="1"/>
  <c r="AW96" i="1"/>
  <c r="M96" i="1" s="1"/>
  <c r="AW63" i="1"/>
  <c r="AW70" i="1"/>
  <c r="AW81" i="1"/>
  <c r="AW67" i="1"/>
  <c r="AW113" i="1"/>
  <c r="M113" i="1" s="1"/>
  <c r="AW114" i="1"/>
  <c r="M114" i="1" s="1"/>
  <c r="AW90" i="1"/>
  <c r="BD94" i="1"/>
  <c r="AW74" i="1"/>
  <c r="AW112" i="1"/>
  <c r="M112" i="1" s="1"/>
  <c r="AW107" i="1"/>
  <c r="M107" i="1" s="1"/>
  <c r="AW92" i="1"/>
  <c r="AW95" i="1"/>
  <c r="M95" i="1" s="1"/>
  <c r="AW91" i="1"/>
  <c r="AW53" i="1"/>
  <c r="AW110" i="1"/>
  <c r="M110" i="1" s="1"/>
  <c r="AW44" i="1"/>
  <c r="AW55" i="1"/>
  <c r="AW61" i="1"/>
  <c r="BC42" i="1"/>
  <c r="AW100" i="1"/>
  <c r="M100" i="1" s="1"/>
  <c r="AW48" i="1"/>
  <c r="AW51" i="1"/>
  <c r="AW65" i="1"/>
  <c r="AW72" i="1"/>
  <c r="AW86" i="1"/>
  <c r="AW97" i="1"/>
  <c r="M97" i="1" s="1"/>
  <c r="AW101" i="1"/>
  <c r="M101" i="1" s="1"/>
  <c r="AW52" i="1"/>
  <c r="AW73" i="1"/>
  <c r="AW43" i="1"/>
  <c r="AY43" i="1"/>
  <c r="AW83" i="1"/>
  <c r="AW98" i="1"/>
  <c r="M98" i="1" s="1"/>
  <c r="AW62" i="1"/>
  <c r="AW108" i="1"/>
  <c r="M108" i="1" s="1"/>
  <c r="AW69" i="1"/>
  <c r="AW80" i="1"/>
  <c r="BB44" i="1"/>
  <c r="AW106" i="1"/>
  <c r="M106" i="1" s="1"/>
  <c r="AY44" i="1"/>
  <c r="BC44" i="1" s="1"/>
  <c r="AX45" i="1"/>
  <c r="AY45" i="1" s="1"/>
  <c r="AW45" i="1"/>
  <c r="AW68" i="1"/>
  <c r="AW47" i="1"/>
  <c r="AW57" i="1"/>
  <c r="AW79" i="1"/>
  <c r="AW111" i="1"/>
  <c r="M111" i="1" s="1"/>
  <c r="AW104" i="1"/>
  <c r="M104" i="1" s="1"/>
  <c r="AW84" i="1"/>
  <c r="AW46" i="1"/>
  <c r="AW78" i="1"/>
  <c r="AW109" i="1"/>
  <c r="M109" i="1" s="1"/>
  <c r="AW87" i="1"/>
  <c r="BB43" i="1"/>
  <c r="AW58" i="1"/>
  <c r="AW77" i="1"/>
  <c r="AW56" i="1"/>
  <c r="AW60" i="1"/>
  <c r="AW75" i="1"/>
  <c r="AW89" i="1"/>
  <c r="AW105" i="1"/>
  <c r="M105" i="1" s="1"/>
  <c r="AR80" i="1"/>
  <c r="AR110" i="1"/>
  <c r="AR92" i="1"/>
  <c r="AR108" i="1"/>
  <c r="AR57" i="1"/>
  <c r="AR106" i="1"/>
  <c r="AR105" i="1"/>
  <c r="AR66" i="1"/>
  <c r="AR68" i="1"/>
  <c r="AR84" i="1"/>
  <c r="AR73" i="1"/>
  <c r="AR109" i="1"/>
  <c r="AR112" i="1"/>
  <c r="AR70" i="1"/>
  <c r="AR60" i="1"/>
  <c r="AW49" i="1"/>
  <c r="AZ51" i="1"/>
  <c r="AR55" i="1"/>
  <c r="AW54" i="1"/>
  <c r="AR67" i="1"/>
  <c r="AR71" i="1"/>
  <c r="AW50" i="1"/>
  <c r="AR59" i="1"/>
  <c r="AR65" i="1"/>
  <c r="AW93" i="1"/>
  <c r="M93" i="1" s="1"/>
  <c r="AR99" i="1"/>
  <c r="AW59" i="1"/>
  <c r="AW88" i="1"/>
  <c r="AW85" i="1"/>
  <c r="AR75" i="1"/>
  <c r="AW82" i="1"/>
  <c r="AR95" i="1"/>
  <c r="AR98" i="1"/>
  <c r="AR56" i="1"/>
  <c r="AR64" i="1"/>
  <c r="AW76" i="1"/>
  <c r="AR72" i="1"/>
  <c r="BA45" i="1"/>
  <c r="AW64" i="1"/>
  <c r="AR63" i="1"/>
  <c r="AR62" i="1"/>
  <c r="AW42" i="1"/>
  <c r="M42" i="1" s="1"/>
  <c r="N42" i="1" s="1"/>
  <c r="AR61" i="1"/>
  <c r="AR69" i="1"/>
  <c r="AR85" i="1"/>
  <c r="BD93" i="1"/>
  <c r="AR100" i="1"/>
  <c r="AR102" i="1"/>
  <c r="AR97" i="1"/>
  <c r="AR94" i="1"/>
  <c r="AW71" i="1"/>
  <c r="AR79" i="1"/>
  <c r="AR107" i="1"/>
  <c r="AR89" i="1"/>
  <c r="AW94" i="1"/>
  <c r="M94" i="1" s="1"/>
  <c r="AR96" i="1"/>
  <c r="AR104" i="1"/>
  <c r="AR74" i="1"/>
  <c r="AR83" i="1"/>
  <c r="BD92" i="1"/>
  <c r="AR111" i="1"/>
  <c r="AR91" i="1"/>
  <c r="AR101" i="1"/>
  <c r="AR82" i="1"/>
  <c r="AR86" i="1"/>
  <c r="AR103" i="1"/>
  <c r="AX46" i="1" l="1"/>
  <c r="AY46" i="1" s="1"/>
  <c r="M92" i="1"/>
  <c r="BD44" i="1"/>
  <c r="M44" i="1" s="1"/>
  <c r="BD43" i="1"/>
  <c r="M43" i="1" s="1"/>
  <c r="BC43" i="1"/>
  <c r="U42" i="1"/>
  <c r="V42" i="1"/>
  <c r="AZ52" i="1"/>
  <c r="BB45" i="1"/>
  <c r="BC45" i="1" s="1"/>
  <c r="BA46" i="1"/>
  <c r="AX47" i="1" l="1"/>
  <c r="BB46" i="1"/>
  <c r="BC46" i="1" s="1"/>
  <c r="BA47" i="1"/>
  <c r="BD45" i="1"/>
  <c r="M45" i="1" s="1"/>
  <c r="AY47" i="1"/>
  <c r="AX48" i="1"/>
  <c r="AZ53" i="1"/>
  <c r="X42" i="1"/>
  <c r="W42" i="1"/>
  <c r="X54" i="1" s="1"/>
  <c r="Y54" i="1" s="1"/>
  <c r="AB42" i="1" l="1"/>
  <c r="Y42" i="1"/>
  <c r="AD42" i="1"/>
  <c r="AF42" i="1" s="1"/>
  <c r="Z42" i="1"/>
  <c r="AH42" i="1" s="1"/>
  <c r="AX49" i="1"/>
  <c r="AY48" i="1"/>
  <c r="BB47" i="1"/>
  <c r="BC47" i="1" s="1"/>
  <c r="BA48" i="1"/>
  <c r="AZ54" i="1"/>
  <c r="BD46" i="1"/>
  <c r="M46" i="1" s="1"/>
  <c r="BD47" i="1" l="1"/>
  <c r="M47" i="1" s="1"/>
  <c r="AX50" i="1"/>
  <c r="AY49" i="1"/>
  <c r="AC42" i="1"/>
  <c r="V43" i="1"/>
  <c r="N43" i="1"/>
  <c r="AE42" i="1"/>
  <c r="L43" i="1" s="1"/>
  <c r="AJ43" i="1" s="1"/>
  <c r="BB48" i="1"/>
  <c r="BC48" i="1" s="1"/>
  <c r="BA49" i="1"/>
  <c r="AZ55" i="1"/>
  <c r="X43" i="1" l="1"/>
  <c r="Y43" i="1" s="1"/>
  <c r="AZ56" i="1"/>
  <c r="BB49" i="1"/>
  <c r="BC49" i="1" s="1"/>
  <c r="BA50" i="1"/>
  <c r="BD48" i="1"/>
  <c r="M48" i="1" s="1"/>
  <c r="AD43" i="1"/>
  <c r="P43" i="1"/>
  <c r="U43" i="1" s="1"/>
  <c r="AY50" i="1"/>
  <c r="AX51" i="1"/>
  <c r="W43" i="1" l="1"/>
  <c r="AB43" i="1" s="1"/>
  <c r="AX52" i="1"/>
  <c r="AY51" i="1"/>
  <c r="BA51" i="1"/>
  <c r="BB50" i="1"/>
  <c r="BC50" i="1" s="1"/>
  <c r="BD49" i="1"/>
  <c r="M49" i="1" s="1"/>
  <c r="AZ57" i="1"/>
  <c r="BA52" i="1" l="1"/>
  <c r="BB51" i="1"/>
  <c r="BC51" i="1" s="1"/>
  <c r="BD50" i="1"/>
  <c r="M50" i="1" s="1"/>
  <c r="AZ58" i="1"/>
  <c r="AY52" i="1"/>
  <c r="AX53" i="1"/>
  <c r="X55" i="1"/>
  <c r="Y55" i="1" s="1"/>
  <c r="Z43" i="1"/>
  <c r="V44" i="1" l="1"/>
  <c r="AC43" i="1"/>
  <c r="AA43" i="1"/>
  <c r="AE43" i="1"/>
  <c r="L44" i="1" s="1"/>
  <c r="AJ44" i="1" s="1"/>
  <c r="N44" i="1"/>
  <c r="AX54" i="1"/>
  <c r="AY53" i="1"/>
  <c r="AZ59" i="1"/>
  <c r="BD51" i="1"/>
  <c r="M51" i="1" s="1"/>
  <c r="BA53" i="1"/>
  <c r="BB52" i="1"/>
  <c r="BC52" i="1" s="1"/>
  <c r="X44" i="1" l="1"/>
  <c r="Y44" i="1" s="1"/>
  <c r="AX55" i="1"/>
  <c r="AY54" i="1"/>
  <c r="AD44" i="1"/>
  <c r="AF44" i="1" s="1"/>
  <c r="P44" i="1"/>
  <c r="U44" i="1" s="1"/>
  <c r="BD52" i="1"/>
  <c r="M52" i="1" s="1"/>
  <c r="BA54" i="1"/>
  <c r="BB53" i="1"/>
  <c r="BC53" i="1" s="1"/>
  <c r="AZ60" i="1"/>
  <c r="W44" i="1" l="1"/>
  <c r="AB44" i="1" s="1"/>
  <c r="BA55" i="1"/>
  <c r="BB54" i="1"/>
  <c r="BC54" i="1" s="1"/>
  <c r="AZ61" i="1"/>
  <c r="BD53" i="1"/>
  <c r="M53" i="1" s="1"/>
  <c r="AY55" i="1"/>
  <c r="AX56" i="1"/>
  <c r="AY56" i="1" l="1"/>
  <c r="AX57" i="1"/>
  <c r="BD54" i="1"/>
  <c r="M54" i="1" s="1"/>
  <c r="X56" i="1"/>
  <c r="Y56" i="1" s="1"/>
  <c r="AZ62" i="1"/>
  <c r="BA56" i="1"/>
  <c r="BB55" i="1"/>
  <c r="BC55" i="1" s="1"/>
  <c r="Z44" i="1"/>
  <c r="AC44" i="1" l="1"/>
  <c r="V45" i="1"/>
  <c r="AE44" i="1"/>
  <c r="L45" i="1" s="1"/>
  <c r="AJ45" i="1" s="1"/>
  <c r="AA44" i="1"/>
  <c r="N45" i="1"/>
  <c r="BA57" i="1"/>
  <c r="BB56" i="1"/>
  <c r="BC56" i="1" s="1"/>
  <c r="BD55" i="1"/>
  <c r="M55" i="1" s="1"/>
  <c r="AY57" i="1"/>
  <c r="AX58" i="1"/>
  <c r="AZ63" i="1"/>
  <c r="X45" i="1" l="1"/>
  <c r="Y45" i="1" s="1"/>
  <c r="AZ64" i="1"/>
  <c r="AX59" i="1"/>
  <c r="AY58" i="1"/>
  <c r="BD56" i="1"/>
  <c r="M56" i="1" s="1"/>
  <c r="BA58" i="1"/>
  <c r="BB57" i="1"/>
  <c r="BC57" i="1" s="1"/>
  <c r="P45" i="1"/>
  <c r="U45" i="1" s="1"/>
  <c r="AD45" i="1" l="1"/>
  <c r="W45" i="1"/>
  <c r="AB45" i="1" s="1"/>
  <c r="BA59" i="1"/>
  <c r="BB58" i="1"/>
  <c r="BC58" i="1" s="1"/>
  <c r="AY59" i="1"/>
  <c r="AX60" i="1"/>
  <c r="BD57" i="1"/>
  <c r="M57" i="1" s="1"/>
  <c r="AZ65" i="1"/>
  <c r="BD58" i="1" l="1"/>
  <c r="M58" i="1" s="1"/>
  <c r="AY60" i="1"/>
  <c r="AX61" i="1"/>
  <c r="BA60" i="1"/>
  <c r="BB59" i="1"/>
  <c r="BC59" i="1" s="1"/>
  <c r="X57" i="1"/>
  <c r="Y57" i="1" s="1"/>
  <c r="AZ66" i="1"/>
  <c r="Z45" i="1"/>
  <c r="AE45" i="1" l="1"/>
  <c r="L46" i="1" s="1"/>
  <c r="AJ46" i="1" s="1"/>
  <c r="AA45" i="1"/>
  <c r="N46" i="1"/>
  <c r="AZ67" i="1"/>
  <c r="AC45" i="1"/>
  <c r="V46" i="1"/>
  <c r="BD59" i="1"/>
  <c r="M59" i="1" s="1"/>
  <c r="BA61" i="1"/>
  <c r="BB60" i="1"/>
  <c r="BC60" i="1" s="1"/>
  <c r="AY61" i="1"/>
  <c r="AX62" i="1"/>
  <c r="X46" i="1" l="1"/>
  <c r="Y46" i="1" s="1"/>
  <c r="AX63" i="1"/>
  <c r="AY62" i="1"/>
  <c r="BA62" i="1"/>
  <c r="BB61" i="1"/>
  <c r="BC61" i="1" s="1"/>
  <c r="BD60" i="1"/>
  <c r="M60" i="1" s="1"/>
  <c r="AZ68" i="1"/>
  <c r="AD46" i="1"/>
  <c r="AF46" i="1" s="1"/>
  <c r="P46" i="1"/>
  <c r="U46" i="1" s="1"/>
  <c r="W46" i="1" l="1"/>
  <c r="AB46" i="1" s="1"/>
  <c r="AZ69" i="1"/>
  <c r="BD61" i="1"/>
  <c r="M61" i="1" s="1"/>
  <c r="BA63" i="1"/>
  <c r="BB62" i="1"/>
  <c r="BC62" i="1" s="1"/>
  <c r="AY63" i="1"/>
  <c r="AX64" i="1"/>
  <c r="AY64" i="1" l="1"/>
  <c r="AX65" i="1"/>
  <c r="BD62" i="1"/>
  <c r="M62" i="1" s="1"/>
  <c r="X58" i="1"/>
  <c r="Y58" i="1" s="1"/>
  <c r="BA64" i="1"/>
  <c r="BB63" i="1"/>
  <c r="BC63" i="1" s="1"/>
  <c r="AZ70" i="1"/>
  <c r="Z46" i="1"/>
  <c r="BD63" i="1" l="1"/>
  <c r="M63" i="1" s="1"/>
  <c r="V47" i="1"/>
  <c r="AC46" i="1"/>
  <c r="AY65" i="1"/>
  <c r="AX66" i="1"/>
  <c r="AE46" i="1"/>
  <c r="L47" i="1" s="1"/>
  <c r="AJ47" i="1" s="1"/>
  <c r="AA46" i="1"/>
  <c r="N47" i="1"/>
  <c r="AZ71" i="1"/>
  <c r="BA65" i="1"/>
  <c r="BB64" i="1"/>
  <c r="BC64" i="1" s="1"/>
  <c r="X47" i="1" l="1"/>
  <c r="Y47" i="1" s="1"/>
  <c r="BD64" i="1"/>
  <c r="M64" i="1" s="1"/>
  <c r="AZ72" i="1"/>
  <c r="BA66" i="1"/>
  <c r="BB65" i="1"/>
  <c r="BC65" i="1" s="1"/>
  <c r="AD47" i="1"/>
  <c r="P47" i="1"/>
  <c r="U47" i="1" s="1"/>
  <c r="AX67" i="1"/>
  <c r="AY66" i="1"/>
  <c r="W47" i="1" l="1"/>
  <c r="AB47" i="1" s="1"/>
  <c r="AX68" i="1"/>
  <c r="AY67" i="1"/>
  <c r="BD65" i="1"/>
  <c r="M65" i="1" s="1"/>
  <c r="BA67" i="1"/>
  <c r="BB66" i="1"/>
  <c r="BC66" i="1" s="1"/>
  <c r="AZ73" i="1"/>
  <c r="AZ74" i="1" l="1"/>
  <c r="BD66" i="1"/>
  <c r="M66" i="1" s="1"/>
  <c r="BA68" i="1"/>
  <c r="BB67" i="1"/>
  <c r="BC67" i="1" s="1"/>
  <c r="AY68" i="1"/>
  <c r="AX69" i="1"/>
  <c r="X59" i="1"/>
  <c r="Y59" i="1" s="1"/>
  <c r="Z47" i="1"/>
  <c r="N48" i="1" l="1"/>
  <c r="AE47" i="1"/>
  <c r="L48" i="1" s="1"/>
  <c r="AJ48" i="1" s="1"/>
  <c r="AA47" i="1"/>
  <c r="AC47" i="1"/>
  <c r="V48" i="1"/>
  <c r="AX70" i="1"/>
  <c r="AY69" i="1"/>
  <c r="BA69" i="1"/>
  <c r="BB68" i="1"/>
  <c r="BC68" i="1" s="1"/>
  <c r="BD67" i="1"/>
  <c r="M67" i="1" s="1"/>
  <c r="AZ75" i="1"/>
  <c r="X48" i="1" l="1"/>
  <c r="Y48" i="1" s="1"/>
  <c r="AZ76" i="1"/>
  <c r="BA70" i="1"/>
  <c r="BB69" i="1"/>
  <c r="BC69" i="1" s="1"/>
  <c r="AX71" i="1"/>
  <c r="AY70" i="1"/>
  <c r="BD68" i="1"/>
  <c r="M68" i="1" s="1"/>
  <c r="P48" i="1"/>
  <c r="U48" i="1" s="1"/>
  <c r="AD48" i="1" l="1"/>
  <c r="AF48" i="1" s="1"/>
  <c r="W48" i="1"/>
  <c r="AB48" i="1" s="1"/>
  <c r="AY71" i="1"/>
  <c r="AX72" i="1"/>
  <c r="AZ77" i="1"/>
  <c r="BD69" i="1"/>
  <c r="M69" i="1" s="1"/>
  <c r="BA71" i="1"/>
  <c r="BB70" i="1"/>
  <c r="BC70" i="1" s="1"/>
  <c r="BD70" i="1" l="1"/>
  <c r="M70" i="1" s="1"/>
  <c r="BA72" i="1"/>
  <c r="BB71" i="1"/>
  <c r="BC71" i="1" s="1"/>
  <c r="AZ78" i="1"/>
  <c r="AY72" i="1"/>
  <c r="AX73" i="1"/>
  <c r="X60" i="1"/>
  <c r="Y60" i="1" s="1"/>
  <c r="Z48" i="1"/>
  <c r="N49" i="1" l="1"/>
  <c r="AE48" i="1"/>
  <c r="L49" i="1" s="1"/>
  <c r="AJ49" i="1" s="1"/>
  <c r="AA48" i="1"/>
  <c r="AC48" i="1"/>
  <c r="V49" i="1"/>
  <c r="AX74" i="1"/>
  <c r="AY73" i="1"/>
  <c r="AZ79" i="1"/>
  <c r="BD71" i="1"/>
  <c r="M71" i="1" s="1"/>
  <c r="BA73" i="1"/>
  <c r="BB72" i="1"/>
  <c r="BC72" i="1" s="1"/>
  <c r="X49" i="1" l="1"/>
  <c r="Y49" i="1" s="1"/>
  <c r="BD72" i="1"/>
  <c r="M72" i="1" s="1"/>
  <c r="BA74" i="1"/>
  <c r="BB73" i="1"/>
  <c r="BC73" i="1" s="1"/>
  <c r="AZ80" i="1"/>
  <c r="AY74" i="1"/>
  <c r="AX75" i="1"/>
  <c r="AD49" i="1"/>
  <c r="P49" i="1"/>
  <c r="U49" i="1" s="1"/>
  <c r="W49" i="1" l="1"/>
  <c r="AB49" i="1" s="1"/>
  <c r="AY75" i="1"/>
  <c r="AX76" i="1"/>
  <c r="AZ81" i="1"/>
  <c r="BD73" i="1"/>
  <c r="M73" i="1" s="1"/>
  <c r="BA75" i="1"/>
  <c r="BB74" i="1"/>
  <c r="BC74" i="1" s="1"/>
  <c r="BD74" i="1" l="1"/>
  <c r="M74" i="1" s="1"/>
  <c r="BA76" i="1"/>
  <c r="BB75" i="1"/>
  <c r="BC75" i="1" s="1"/>
  <c r="AZ82" i="1"/>
  <c r="AY76" i="1"/>
  <c r="AX77" i="1"/>
  <c r="X61" i="1"/>
  <c r="Y61" i="1" s="1"/>
  <c r="Z49" i="1"/>
  <c r="AC49" i="1" l="1"/>
  <c r="V50" i="1"/>
  <c r="N50" i="1"/>
  <c r="AE49" i="1"/>
  <c r="L50" i="1" s="1"/>
  <c r="AJ50" i="1" s="1"/>
  <c r="AA49" i="1"/>
  <c r="AX78" i="1"/>
  <c r="AY77" i="1"/>
  <c r="AZ83" i="1"/>
  <c r="BD75" i="1"/>
  <c r="M75" i="1" s="1"/>
  <c r="BA77" i="1"/>
  <c r="BB76" i="1"/>
  <c r="BC76" i="1" s="1"/>
  <c r="X50" i="1" l="1"/>
  <c r="Y50" i="1" s="1"/>
  <c r="BD76" i="1"/>
  <c r="M76" i="1" s="1"/>
  <c r="BA78" i="1"/>
  <c r="BB77" i="1"/>
  <c r="BC77" i="1" s="1"/>
  <c r="AZ84" i="1"/>
  <c r="AY78" i="1"/>
  <c r="AX79" i="1"/>
  <c r="P50" i="1"/>
  <c r="U50" i="1" s="1"/>
  <c r="AD50" i="1"/>
  <c r="AF50" i="1" s="1"/>
  <c r="W50" i="1" l="1"/>
  <c r="AB50" i="1" s="1"/>
  <c r="AY79" i="1"/>
  <c r="AX80" i="1"/>
  <c r="AZ85" i="1"/>
  <c r="BD77" i="1"/>
  <c r="M77" i="1" s="1"/>
  <c r="BA79" i="1"/>
  <c r="BB78" i="1"/>
  <c r="BC78" i="1" s="1"/>
  <c r="BD78" i="1" l="1"/>
  <c r="M78" i="1" s="1"/>
  <c r="BA80" i="1"/>
  <c r="BB79" i="1"/>
  <c r="BC79" i="1" s="1"/>
  <c r="X62" i="1"/>
  <c r="Y62" i="1" s="1"/>
  <c r="AZ86" i="1"/>
  <c r="AY80" i="1"/>
  <c r="AX81" i="1"/>
  <c r="Z50" i="1"/>
  <c r="AX82" i="1" l="1"/>
  <c r="AY81" i="1"/>
  <c r="V51" i="1"/>
  <c r="AC50" i="1"/>
  <c r="N51" i="1"/>
  <c r="AE50" i="1"/>
  <c r="L51" i="1" s="1"/>
  <c r="AJ51" i="1" s="1"/>
  <c r="AA50" i="1"/>
  <c r="AZ87" i="1"/>
  <c r="BD79" i="1"/>
  <c r="M79" i="1" s="1"/>
  <c r="BA81" i="1"/>
  <c r="BB80" i="1"/>
  <c r="BC80" i="1" s="1"/>
  <c r="X51" i="1" l="1"/>
  <c r="Y51" i="1" s="1"/>
  <c r="BD80" i="1"/>
  <c r="M80" i="1" s="1"/>
  <c r="BA82" i="1"/>
  <c r="BB81" i="1"/>
  <c r="BC81" i="1" s="1"/>
  <c r="P51" i="1"/>
  <c r="AD51" i="1"/>
  <c r="U51" i="1"/>
  <c r="AZ88" i="1"/>
  <c r="AY82" i="1"/>
  <c r="AX83" i="1"/>
  <c r="AX84" i="1" l="1"/>
  <c r="AY83" i="1"/>
  <c r="W51" i="1"/>
  <c r="AB51" i="1" s="1"/>
  <c r="AZ89" i="1"/>
  <c r="BD81" i="1"/>
  <c r="M81" i="1" s="1"/>
  <c r="BA83" i="1"/>
  <c r="BB82" i="1"/>
  <c r="BC82" i="1" s="1"/>
  <c r="BA84" i="1" l="1"/>
  <c r="BB83" i="1"/>
  <c r="BC83" i="1" s="1"/>
  <c r="BD82" i="1"/>
  <c r="M82" i="1" s="1"/>
  <c r="X63" i="1"/>
  <c r="Y63" i="1" s="1"/>
  <c r="Z51" i="1"/>
  <c r="AX85" i="1"/>
  <c r="AY84" i="1"/>
  <c r="N52" i="1" l="1"/>
  <c r="AE51" i="1"/>
  <c r="L52" i="1" s="1"/>
  <c r="AJ52" i="1" s="1"/>
  <c r="AA51" i="1"/>
  <c r="AC51" i="1"/>
  <c r="V52" i="1"/>
  <c r="AY85" i="1"/>
  <c r="AX86" i="1"/>
  <c r="BD83" i="1"/>
  <c r="M83" i="1" s="1"/>
  <c r="BA85" i="1"/>
  <c r="BB84" i="1"/>
  <c r="BC84" i="1" s="1"/>
  <c r="X52" i="1" l="1"/>
  <c r="Y52" i="1" s="1"/>
  <c r="AY86" i="1"/>
  <c r="AX87" i="1"/>
  <c r="BA86" i="1"/>
  <c r="BB85" i="1"/>
  <c r="BC85" i="1" s="1"/>
  <c r="BD84" i="1"/>
  <c r="M84" i="1" s="1"/>
  <c r="P52" i="1"/>
  <c r="U52" i="1" s="1"/>
  <c r="AD52" i="1" l="1"/>
  <c r="AF52" i="1" s="1"/>
  <c r="W52" i="1"/>
  <c r="AB52" i="1" s="1"/>
  <c r="BD85" i="1"/>
  <c r="M85" i="1" s="1"/>
  <c r="BA87" i="1"/>
  <c r="BB86" i="1"/>
  <c r="BC86" i="1" s="1"/>
  <c r="AY87" i="1"/>
  <c r="AX88" i="1"/>
  <c r="AX89" i="1" l="1"/>
  <c r="AY88" i="1"/>
  <c r="BD86" i="1"/>
  <c r="M86" i="1" s="1"/>
  <c r="BA88" i="1"/>
  <c r="BB87" i="1"/>
  <c r="BC87" i="1" s="1"/>
  <c r="X64" i="1"/>
  <c r="Y64" i="1" s="1"/>
  <c r="Z52" i="1"/>
  <c r="N53" i="1" l="1"/>
  <c r="AE52" i="1"/>
  <c r="L53" i="1" s="1"/>
  <c r="AJ53" i="1" s="1"/>
  <c r="AA52" i="1"/>
  <c r="BD87" i="1"/>
  <c r="M87" i="1" s="1"/>
  <c r="AC52" i="1"/>
  <c r="V53" i="1"/>
  <c r="BA89" i="1"/>
  <c r="BB88" i="1"/>
  <c r="BC88" i="1" s="1"/>
  <c r="AY89" i="1"/>
  <c r="AX90" i="1"/>
  <c r="X53" i="1" l="1"/>
  <c r="Y53" i="1" s="1"/>
  <c r="BD88" i="1"/>
  <c r="M88" i="1" s="1"/>
  <c r="BA90" i="1"/>
  <c r="BB89" i="1"/>
  <c r="BC89" i="1" s="1"/>
  <c r="AY90" i="1"/>
  <c r="AX91" i="1"/>
  <c r="AY91" i="1" s="1"/>
  <c r="BC91" i="1" s="1"/>
  <c r="AD53" i="1"/>
  <c r="P53" i="1"/>
  <c r="U53" i="1" s="1"/>
  <c r="W53" i="1" l="1"/>
  <c r="AB53" i="1" s="1"/>
  <c r="BD91" i="1"/>
  <c r="M91" i="1" s="1"/>
  <c r="BD89" i="1"/>
  <c r="M89" i="1" s="1"/>
  <c r="BB90" i="1"/>
  <c r="BC90" i="1" s="1"/>
  <c r="BA91" i="1"/>
  <c r="BA92" i="1" s="1"/>
  <c r="BA93" i="1" s="1"/>
  <c r="BA94" i="1" s="1"/>
  <c r="BA95" i="1" s="1"/>
  <c r="BA96" i="1" s="1"/>
  <c r="BA97" i="1" s="1"/>
  <c r="BA98" i="1" s="1"/>
  <c r="BA99" i="1" s="1"/>
  <c r="BA100" i="1" s="1"/>
  <c r="BA101" i="1" s="1"/>
  <c r="BA102" i="1" s="1"/>
  <c r="BA103" i="1" s="1"/>
  <c r="BA104" i="1" s="1"/>
  <c r="BA105" i="1" s="1"/>
  <c r="BA106" i="1" s="1"/>
  <c r="BA107" i="1" s="1"/>
  <c r="BA108" i="1" s="1"/>
  <c r="BA109" i="1" s="1"/>
  <c r="BA110" i="1" s="1"/>
  <c r="BA111" i="1" s="1"/>
  <c r="BA112" i="1" s="1"/>
  <c r="BA113" i="1" s="1"/>
  <c r="BA114" i="1" s="1"/>
  <c r="BD90" i="1" l="1"/>
  <c r="M90" i="1" s="1"/>
  <c r="X65" i="1"/>
  <c r="Y65" i="1" s="1"/>
  <c r="Z53" i="1"/>
  <c r="AC53" i="1" l="1"/>
  <c r="V54" i="1"/>
  <c r="N54" i="1"/>
  <c r="AE53" i="1"/>
  <c r="L54" i="1" s="1"/>
  <c r="AK54" i="1" l="1"/>
  <c r="AJ54" i="1"/>
  <c r="P54" i="1"/>
  <c r="AD54" i="1"/>
  <c r="AF54" i="1" s="1"/>
  <c r="U54" i="1"/>
  <c r="W54" i="1" l="1"/>
  <c r="AB54" i="1" s="1"/>
  <c r="X66" i="1" l="1"/>
  <c r="Y66" i="1" s="1"/>
  <c r="Z54" i="1"/>
  <c r="AH54" i="1" s="1"/>
  <c r="AC54" i="1" l="1"/>
  <c r="V55" i="1"/>
  <c r="N55" i="1"/>
  <c r="AE54" i="1"/>
  <c r="L55" i="1" s="1"/>
  <c r="AJ55" i="1" s="1"/>
  <c r="AA54" i="1"/>
  <c r="AD55" i="1" l="1"/>
  <c r="P55" i="1"/>
  <c r="T59" i="1"/>
  <c r="S58" i="1"/>
  <c r="U55" i="1" l="1"/>
  <c r="W55" i="1" l="1"/>
  <c r="AB55" i="1" s="1"/>
  <c r="X67" i="1" l="1"/>
  <c r="Y67" i="1" s="1"/>
  <c r="Z55" i="1"/>
  <c r="AE55" i="1" l="1"/>
  <c r="L56" i="1" s="1"/>
  <c r="AJ56" i="1" s="1"/>
  <c r="AA55" i="1"/>
  <c r="N56" i="1"/>
  <c r="V56" i="1"/>
  <c r="AC55" i="1"/>
  <c r="S59" i="1" l="1"/>
  <c r="T60" i="1"/>
  <c r="AD56" i="1"/>
  <c r="AF56" i="1" s="1"/>
  <c r="P56" i="1"/>
  <c r="Q56" i="1"/>
  <c r="AG56" i="1" s="1"/>
  <c r="AI58" i="1" l="1"/>
  <c r="U56" i="1"/>
  <c r="W56" i="1" l="1"/>
  <c r="AB56" i="1" s="1"/>
  <c r="Z56" i="1" l="1"/>
  <c r="AA56" i="1"/>
  <c r="N57" i="1"/>
  <c r="X68" i="1"/>
  <c r="Y68" i="1" s="1"/>
  <c r="Q57" i="1" l="1"/>
  <c r="AG57" i="1" s="1"/>
  <c r="T61" i="1"/>
  <c r="S60" i="1"/>
  <c r="V57" i="1"/>
  <c r="AC56" i="1"/>
  <c r="AE56" i="1"/>
  <c r="L57" i="1" s="1"/>
  <c r="AJ57" i="1" s="1"/>
  <c r="P57" i="1"/>
  <c r="AD57" i="1"/>
  <c r="R57" i="1"/>
  <c r="U57" i="1" s="1"/>
  <c r="AI59" i="1" l="1"/>
  <c r="W57" i="1"/>
  <c r="AB57" i="1" s="1"/>
  <c r="AI57" i="1"/>
  <c r="X69" i="1" l="1"/>
  <c r="Y69" i="1" s="1"/>
  <c r="Z57" i="1"/>
  <c r="N58" i="1" l="1"/>
  <c r="AA57" i="1"/>
  <c r="AE57" i="1"/>
  <c r="L58" i="1" s="1"/>
  <c r="AJ58" i="1" s="1"/>
  <c r="AC57" i="1"/>
  <c r="V58" i="1"/>
  <c r="S61" i="1" l="1"/>
  <c r="T62" i="1"/>
  <c r="Q58" i="1"/>
  <c r="AG58" i="1" s="1"/>
  <c r="R58" i="1"/>
  <c r="AD58" i="1"/>
  <c r="AF58" i="1" s="1"/>
  <c r="P58" i="1"/>
  <c r="U58" i="1" l="1"/>
  <c r="AI60" i="1"/>
  <c r="W58" i="1"/>
  <c r="AB58" i="1" s="1"/>
  <c r="X70" i="1" l="1"/>
  <c r="Y70" i="1" s="1"/>
  <c r="Z58" i="1"/>
  <c r="N59" i="1" l="1"/>
  <c r="AE58" i="1"/>
  <c r="L59" i="1" s="1"/>
  <c r="AJ59" i="1" s="1"/>
  <c r="AA58" i="1"/>
  <c r="AC58" i="1"/>
  <c r="V59" i="1"/>
  <c r="R59" i="1" l="1"/>
  <c r="Q59" i="1"/>
  <c r="AG59" i="1" s="1"/>
  <c r="P59" i="1"/>
  <c r="AD59" i="1"/>
  <c r="T63" i="1"/>
  <c r="S62" i="1"/>
  <c r="U59" i="1" l="1"/>
  <c r="W59" i="1" s="1"/>
  <c r="AB59" i="1" s="1"/>
  <c r="Z59" i="1" l="1"/>
  <c r="N60" i="1"/>
  <c r="AA59" i="1"/>
  <c r="X71" i="1"/>
  <c r="Y71" i="1" s="1"/>
  <c r="S63" i="1" l="1"/>
  <c r="R60" i="1"/>
  <c r="T64" i="1"/>
  <c r="AC59" i="1"/>
  <c r="V60" i="1"/>
  <c r="AE59" i="1"/>
  <c r="L60" i="1" s="1"/>
  <c r="AD60" i="1"/>
  <c r="AF60" i="1" s="1"/>
  <c r="P60" i="1"/>
  <c r="Q60" i="1"/>
  <c r="AG60" i="1" s="1"/>
  <c r="AI62" i="1" l="1"/>
  <c r="U60" i="1"/>
  <c r="AK60" i="1"/>
  <c r="AJ60" i="1"/>
  <c r="W60" i="1" l="1"/>
  <c r="AB60" i="1" s="1"/>
  <c r="X72" i="1" l="1"/>
  <c r="Y72" i="1" s="1"/>
  <c r="Z60" i="1"/>
  <c r="N61" i="1" l="1"/>
  <c r="AE60" i="1"/>
  <c r="L61" i="1" s="1"/>
  <c r="AJ61" i="1" s="1"/>
  <c r="AA60" i="1"/>
  <c r="AC60" i="1"/>
  <c r="V61" i="1"/>
  <c r="S64" i="1" l="1"/>
  <c r="T65" i="1"/>
  <c r="Q61" i="1"/>
  <c r="AG61" i="1" s="1"/>
  <c r="P61" i="1"/>
  <c r="AD61" i="1"/>
  <c r="R61" i="1"/>
  <c r="U61" i="1" s="1"/>
  <c r="AI63" i="1" l="1"/>
  <c r="W61" i="1"/>
  <c r="AB61" i="1" s="1"/>
  <c r="AI61" i="1"/>
  <c r="X73" i="1" l="1"/>
  <c r="Y73" i="1" s="1"/>
  <c r="Z61" i="1"/>
  <c r="AA61" i="1" l="1"/>
  <c r="AE61" i="1"/>
  <c r="L62" i="1" s="1"/>
  <c r="AJ62" i="1" s="1"/>
  <c r="N62" i="1"/>
  <c r="AC61" i="1"/>
  <c r="V62" i="1"/>
  <c r="Q62" i="1" l="1"/>
  <c r="AG62" i="1" s="1"/>
  <c r="R62" i="1"/>
  <c r="T66" i="1"/>
  <c r="S65" i="1"/>
  <c r="P62" i="1"/>
  <c r="AD62" i="1"/>
  <c r="AF62" i="1" s="1"/>
  <c r="U62" i="1" l="1"/>
  <c r="W62" i="1" s="1"/>
  <c r="AB62" i="1" s="1"/>
  <c r="Z62" i="1" l="1"/>
  <c r="AH62" i="1" s="1"/>
  <c r="N63" i="1"/>
  <c r="AA62" i="1"/>
  <c r="X74" i="1"/>
  <c r="Y74" i="1" s="1"/>
  <c r="Q63" i="1" l="1"/>
  <c r="AG63" i="1" s="1"/>
  <c r="R63" i="1"/>
  <c r="V63" i="1"/>
  <c r="AC62" i="1"/>
  <c r="AE62" i="1"/>
  <c r="L63" i="1" s="1"/>
  <c r="AJ63" i="1" s="1"/>
  <c r="P63" i="1"/>
  <c r="AD63" i="1"/>
  <c r="S66" i="1"/>
  <c r="T67" i="1"/>
  <c r="U63" i="1" l="1"/>
  <c r="W63" i="1" l="1"/>
  <c r="AB63" i="1" s="1"/>
  <c r="X75" i="1" l="1"/>
  <c r="Y75" i="1" s="1"/>
  <c r="Z63" i="1"/>
  <c r="V64" i="1" l="1"/>
  <c r="AC63" i="1"/>
  <c r="AE63" i="1"/>
  <c r="L64" i="1" s="1"/>
  <c r="AJ64" i="1" s="1"/>
  <c r="N64" i="1"/>
  <c r="AA63" i="1"/>
  <c r="R64" i="1" l="1"/>
  <c r="S67" i="1"/>
  <c r="T68" i="1"/>
  <c r="Q64" i="1"/>
  <c r="AG64" i="1" s="1"/>
  <c r="P64" i="1"/>
  <c r="AD64" i="1"/>
  <c r="AF64" i="1" s="1"/>
  <c r="AI64" i="1" l="1"/>
  <c r="AI66" i="1"/>
  <c r="U64" i="1"/>
  <c r="W64" i="1" l="1"/>
  <c r="AB64" i="1" s="1"/>
  <c r="X76" i="1" l="1"/>
  <c r="Y76" i="1" s="1"/>
  <c r="Z64" i="1"/>
  <c r="AA64" i="1" l="1"/>
  <c r="N65" i="1"/>
  <c r="AE64" i="1"/>
  <c r="L65" i="1" s="1"/>
  <c r="AJ65" i="1" s="1"/>
  <c r="AC64" i="1"/>
  <c r="V65" i="1"/>
  <c r="T69" i="1" l="1"/>
  <c r="S68" i="1"/>
  <c r="Q65" i="1"/>
  <c r="AG65" i="1" s="1"/>
  <c r="AD65" i="1"/>
  <c r="P65" i="1"/>
  <c r="R65" i="1"/>
  <c r="AI65" i="1" l="1"/>
  <c r="U65" i="1"/>
  <c r="W65" i="1" l="1"/>
  <c r="AB65" i="1" s="1"/>
  <c r="Z65" i="1" l="1"/>
  <c r="N66" i="1" s="1"/>
  <c r="AA65" i="1"/>
  <c r="X77" i="1"/>
  <c r="Y77" i="1" s="1"/>
  <c r="R66" i="1" l="1"/>
  <c r="T70" i="1"/>
  <c r="S69" i="1"/>
  <c r="Q66" i="1"/>
  <c r="AG66" i="1" s="1"/>
  <c r="AC65" i="1"/>
  <c r="V66" i="1"/>
  <c r="AE65" i="1"/>
  <c r="L66" i="1" s="1"/>
  <c r="P66" i="1"/>
  <c r="AD66" i="1"/>
  <c r="AF66" i="1" s="1"/>
  <c r="U66" i="1" l="1"/>
  <c r="AI68" i="1"/>
  <c r="W66" i="1"/>
  <c r="X78" i="1" s="1"/>
  <c r="Y78" i="1" s="1"/>
  <c r="AK66" i="1"/>
  <c r="AJ66" i="1"/>
  <c r="AB66" i="1" l="1"/>
  <c r="Z66" i="1"/>
  <c r="AC66" i="1" l="1"/>
  <c r="V67" i="1"/>
  <c r="AE66" i="1"/>
  <c r="L67" i="1" s="1"/>
  <c r="AJ67" i="1" s="1"/>
  <c r="N67" i="1"/>
  <c r="AA66" i="1"/>
  <c r="R67" i="1" l="1"/>
  <c r="Q67" i="1"/>
  <c r="AG67" i="1" s="1"/>
  <c r="P67" i="1"/>
  <c r="AI67" i="1" s="1"/>
  <c r="AD67" i="1"/>
  <c r="S70" i="1"/>
  <c r="T71" i="1"/>
  <c r="U67" i="1" l="1"/>
  <c r="W67" i="1" s="1"/>
  <c r="AB67" i="1" s="1"/>
  <c r="X79" i="1" l="1"/>
  <c r="Y79" i="1" s="1"/>
  <c r="Z67" i="1"/>
  <c r="AA67" i="1" l="1"/>
  <c r="AE67" i="1"/>
  <c r="L68" i="1" s="1"/>
  <c r="AJ68" i="1" s="1"/>
  <c r="N68" i="1"/>
  <c r="V68" i="1"/>
  <c r="AC67" i="1"/>
  <c r="T72" i="1" l="1"/>
  <c r="S71" i="1"/>
  <c r="R68" i="1"/>
  <c r="AD68" i="1"/>
  <c r="AF68" i="1" s="1"/>
  <c r="P68" i="1"/>
  <c r="Q68" i="1"/>
  <c r="AG68" i="1" s="1"/>
  <c r="AI70" i="1" l="1"/>
  <c r="U68" i="1"/>
  <c r="W68" i="1" l="1"/>
  <c r="AB68" i="1" s="1"/>
  <c r="Z68" i="1"/>
  <c r="N69" i="1" l="1"/>
  <c r="Q69" i="1" s="1"/>
  <c r="AG69" i="1" s="1"/>
  <c r="AA68" i="1"/>
  <c r="X80" i="1"/>
  <c r="Y80" i="1" s="1"/>
  <c r="S72" i="1" l="1"/>
  <c r="T73" i="1"/>
  <c r="P69" i="1"/>
  <c r="AD69" i="1"/>
  <c r="R69" i="1"/>
  <c r="V69" i="1"/>
  <c r="AC68" i="1"/>
  <c r="AE68" i="1"/>
  <c r="L69" i="1" s="1"/>
  <c r="AJ69" i="1" s="1"/>
  <c r="AI69" i="1" l="1"/>
  <c r="U69" i="1"/>
  <c r="W69" i="1" l="1"/>
  <c r="AB69" i="1" s="1"/>
  <c r="Z69" i="1" l="1"/>
  <c r="N70" i="1" s="1"/>
  <c r="AA69" i="1"/>
  <c r="X81" i="1"/>
  <c r="Y81" i="1" s="1"/>
  <c r="Q70" i="1" l="1"/>
  <c r="AG70" i="1" s="1"/>
  <c r="T74" i="1"/>
  <c r="S73" i="1"/>
  <c r="R70" i="1"/>
  <c r="V70" i="1"/>
  <c r="AC69" i="1"/>
  <c r="AE69" i="1"/>
  <c r="L70" i="1" s="1"/>
  <c r="AJ70" i="1" s="1"/>
  <c r="AD70" i="1"/>
  <c r="AF70" i="1" s="1"/>
  <c r="P70" i="1"/>
  <c r="AI72" i="1" l="1"/>
  <c r="U70" i="1"/>
  <c r="W70" i="1" s="1"/>
  <c r="X82" i="1" l="1"/>
  <c r="Y82" i="1" s="1"/>
  <c r="Z70" i="1"/>
  <c r="AA70" i="1" s="1"/>
  <c r="AB70" i="1"/>
  <c r="N71" i="1"/>
  <c r="AE70" i="1" l="1"/>
  <c r="L71" i="1" s="1"/>
  <c r="AJ71" i="1" s="1"/>
  <c r="V71" i="1"/>
  <c r="AC70" i="1"/>
  <c r="R71" i="1"/>
  <c r="Q71" i="1"/>
  <c r="AG71" i="1" s="1"/>
  <c r="P71" i="1"/>
  <c r="AI71" i="1" s="1"/>
  <c r="AD71" i="1"/>
  <c r="T75" i="1"/>
  <c r="S74" i="1"/>
  <c r="U71" i="1" l="1"/>
  <c r="W71" i="1" l="1"/>
  <c r="AB71" i="1" s="1"/>
  <c r="Z71" i="1" l="1"/>
  <c r="AA71" i="1" s="1"/>
  <c r="X83" i="1"/>
  <c r="Y83" i="1" s="1"/>
  <c r="N72" i="1" l="1"/>
  <c r="AD72" i="1" s="1"/>
  <c r="AF72" i="1" s="1"/>
  <c r="S75" i="1"/>
  <c r="R72" i="1"/>
  <c r="T76" i="1"/>
  <c r="V72" i="1"/>
  <c r="AC71" i="1"/>
  <c r="AE71" i="1"/>
  <c r="L72" i="1" s="1"/>
  <c r="Q72" i="1"/>
  <c r="AG72" i="1" s="1"/>
  <c r="P72" i="1" l="1"/>
  <c r="AI74" i="1"/>
  <c r="U72" i="1"/>
  <c r="AK72" i="1"/>
  <c r="AJ72" i="1"/>
  <c r="W72" i="1" l="1"/>
  <c r="AB72" i="1" s="1"/>
  <c r="X84" i="1" l="1"/>
  <c r="Y84" i="1" s="1"/>
  <c r="Z72" i="1"/>
  <c r="AA72" i="1" l="1"/>
  <c r="AH72" i="1"/>
  <c r="AC72" i="1"/>
  <c r="V73" i="1"/>
  <c r="N73" i="1"/>
  <c r="AE72" i="1"/>
  <c r="L73" i="1" s="1"/>
  <c r="AJ73" i="1" s="1"/>
  <c r="Q73" i="1" l="1"/>
  <c r="AG73" i="1" s="1"/>
  <c r="S76" i="1"/>
  <c r="T77" i="1"/>
  <c r="AD73" i="1"/>
  <c r="P73" i="1"/>
  <c r="R73" i="1"/>
  <c r="U73" i="1" l="1"/>
  <c r="W73" i="1"/>
  <c r="AB73" i="1" s="1"/>
  <c r="AI73" i="1"/>
  <c r="X85" i="1" l="1"/>
  <c r="Y85" i="1" s="1"/>
  <c r="Z73" i="1"/>
  <c r="AA73" i="1" s="1"/>
  <c r="AE73" i="1" l="1"/>
  <c r="L74" i="1" s="1"/>
  <c r="AJ74" i="1" s="1"/>
  <c r="N74" i="1"/>
  <c r="AC73" i="1"/>
  <c r="V74" i="1"/>
  <c r="T78" i="1" l="1"/>
  <c r="R74" i="1"/>
  <c r="Q74" i="1"/>
  <c r="AG74" i="1" s="1"/>
  <c r="S77" i="1"/>
  <c r="P74" i="1"/>
  <c r="AD74" i="1"/>
  <c r="AF74" i="1" s="1"/>
  <c r="U74" i="1" l="1"/>
  <c r="W74" i="1" s="1"/>
  <c r="AB74" i="1" s="1"/>
  <c r="AI76" i="1"/>
  <c r="X86" i="1" l="1"/>
  <c r="Y86" i="1" s="1"/>
  <c r="Z74" i="1"/>
  <c r="AA74" i="1" s="1"/>
  <c r="N75" i="1" l="1"/>
  <c r="AE74" i="1"/>
  <c r="L75" i="1" s="1"/>
  <c r="AJ75" i="1" s="1"/>
  <c r="V75" i="1"/>
  <c r="AC74" i="1"/>
  <c r="Q75" i="1" l="1"/>
  <c r="AG75" i="1" s="1"/>
  <c r="R75" i="1"/>
  <c r="P75" i="1"/>
  <c r="AD75" i="1"/>
  <c r="T79" i="1"/>
  <c r="S78" i="1"/>
  <c r="AI75" i="1" l="1"/>
  <c r="U75" i="1"/>
  <c r="W75" i="1" s="1"/>
  <c r="AB75" i="1" s="1"/>
  <c r="X87" i="1" l="1"/>
  <c r="Y87" i="1" s="1"/>
  <c r="Z75" i="1"/>
  <c r="AA75" i="1" s="1"/>
  <c r="V76" i="1" l="1"/>
  <c r="AC75" i="1"/>
  <c r="N76" i="1"/>
  <c r="R76" i="1" s="1"/>
  <c r="AE75" i="1"/>
  <c r="L76" i="1" s="1"/>
  <c r="AJ76" i="1" s="1"/>
  <c r="S79" i="1" l="1"/>
  <c r="T80" i="1"/>
  <c r="P76" i="1"/>
  <c r="AD76" i="1"/>
  <c r="AF76" i="1" s="1"/>
  <c r="Q76" i="1"/>
  <c r="AG76" i="1" s="1"/>
  <c r="U76" i="1" l="1"/>
  <c r="W76" i="1" l="1"/>
  <c r="AB76" i="1" s="1"/>
  <c r="X88" i="1" l="1"/>
  <c r="Y88" i="1" s="1"/>
  <c r="Z76" i="1"/>
  <c r="AA76" i="1" s="1"/>
  <c r="V77" i="1" l="1"/>
  <c r="AC76" i="1"/>
  <c r="N77" i="1"/>
  <c r="AE76" i="1"/>
  <c r="L77" i="1" s="1"/>
  <c r="AJ77" i="1" s="1"/>
  <c r="Q77" i="1" l="1"/>
  <c r="AG77" i="1" s="1"/>
  <c r="S80" i="1"/>
  <c r="T81" i="1"/>
  <c r="AD77" i="1"/>
  <c r="P77" i="1"/>
  <c r="R77" i="1"/>
  <c r="AI79" i="1" l="1"/>
  <c r="AI77" i="1"/>
  <c r="U77" i="1"/>
  <c r="W77" i="1" l="1"/>
  <c r="AB77" i="1" s="1"/>
  <c r="X89" i="1" l="1"/>
  <c r="Y89" i="1" s="1"/>
  <c r="Z77" i="1"/>
  <c r="AA77" i="1" s="1"/>
  <c r="AC77" i="1" l="1"/>
  <c r="V78" i="1"/>
  <c r="AE77" i="1"/>
  <c r="L78" i="1" s="1"/>
  <c r="N78" i="1"/>
  <c r="R78" i="1" l="1"/>
  <c r="Q78" i="1"/>
  <c r="AG78" i="1" s="1"/>
  <c r="S81" i="1"/>
  <c r="T82" i="1"/>
  <c r="P78" i="1"/>
  <c r="AD78" i="1"/>
  <c r="AF78" i="1" s="1"/>
  <c r="AK78" i="1"/>
  <c r="AJ78" i="1"/>
  <c r="AI80" i="1" l="1"/>
  <c r="U78" i="1"/>
  <c r="W78" i="1" s="1"/>
  <c r="AB78" i="1" s="1"/>
  <c r="AI78" i="1"/>
  <c r="X90" i="1" l="1"/>
  <c r="Y90" i="1" s="1"/>
  <c r="Z78" i="1"/>
  <c r="AA78" i="1" s="1"/>
  <c r="V79" i="1" l="1"/>
  <c r="AC78" i="1"/>
  <c r="N79" i="1"/>
  <c r="AE78" i="1"/>
  <c r="L79" i="1" s="1"/>
  <c r="AJ79" i="1" s="1"/>
  <c r="R79" i="1" l="1"/>
  <c r="Q79" i="1"/>
  <c r="AG79" i="1" s="1"/>
  <c r="P79" i="1"/>
  <c r="S82" i="1"/>
  <c r="AD79" i="1"/>
  <c r="T83" i="1"/>
  <c r="U79" i="1" l="1"/>
  <c r="W79" i="1" s="1"/>
  <c r="Z79" i="1" l="1"/>
  <c r="AA79" i="1" s="1"/>
  <c r="AB79" i="1"/>
  <c r="X91" i="1"/>
  <c r="Y91" i="1" s="1"/>
  <c r="N80" i="1" l="1"/>
  <c r="T84" i="1"/>
  <c r="R80" i="1"/>
  <c r="S83" i="1"/>
  <c r="V80" i="1"/>
  <c r="AC79" i="1"/>
  <c r="AE79" i="1"/>
  <c r="L80" i="1" s="1"/>
  <c r="AJ80" i="1" s="1"/>
  <c r="P80" i="1"/>
  <c r="AD80" i="1"/>
  <c r="AF80" i="1" s="1"/>
  <c r="Q80" i="1"/>
  <c r="AG80" i="1" s="1"/>
  <c r="AI82" i="1" l="1"/>
  <c r="U80" i="1"/>
  <c r="W80" i="1" l="1"/>
  <c r="AB80" i="1" s="1"/>
  <c r="Z80" i="1" l="1"/>
  <c r="AA80" i="1" s="1"/>
  <c r="X92" i="1"/>
  <c r="Y92" i="1" s="1"/>
  <c r="N81" i="1" l="1"/>
  <c r="Q81" i="1"/>
  <c r="AG81" i="1" s="1"/>
  <c r="T85" i="1"/>
  <c r="S84" i="1"/>
  <c r="AD81" i="1"/>
  <c r="P81" i="1"/>
  <c r="R81" i="1"/>
  <c r="V81" i="1"/>
  <c r="AC80" i="1"/>
  <c r="AE80" i="1"/>
  <c r="L81" i="1" s="1"/>
  <c r="AJ81" i="1" s="1"/>
  <c r="AI83" i="1" l="1"/>
  <c r="AI81" i="1"/>
  <c r="U81" i="1"/>
  <c r="W81" i="1" l="1"/>
  <c r="AB81" i="1" s="1"/>
  <c r="X93" i="1" l="1"/>
  <c r="Y93" i="1" s="1"/>
  <c r="Z81" i="1"/>
  <c r="AA81" i="1" s="1"/>
  <c r="AE81" i="1" l="1"/>
  <c r="L82" i="1" s="1"/>
  <c r="AJ82" i="1" s="1"/>
  <c r="N82" i="1"/>
  <c r="AC81" i="1"/>
  <c r="V82" i="1"/>
  <c r="T86" i="1" l="1"/>
  <c r="S85" i="1"/>
  <c r="Q82" i="1"/>
  <c r="AG82" i="1" s="1"/>
  <c r="R82" i="1"/>
  <c r="P82" i="1"/>
  <c r="AD82" i="1"/>
  <c r="AF82" i="1" s="1"/>
  <c r="U82" i="1" l="1"/>
  <c r="W82" i="1" s="1"/>
  <c r="AI84" i="1"/>
  <c r="Z82" i="1" l="1"/>
  <c r="AB82" i="1"/>
  <c r="X94" i="1"/>
  <c r="Y94" i="1" s="1"/>
  <c r="AA82" i="1" l="1"/>
  <c r="AH82" i="1"/>
  <c r="N83" i="1"/>
  <c r="R83" i="1"/>
  <c r="Q83" i="1"/>
  <c r="AG83" i="1" s="1"/>
  <c r="P83" i="1"/>
  <c r="T87" i="1"/>
  <c r="AD83" i="1"/>
  <c r="S86" i="1"/>
  <c r="V83" i="1"/>
  <c r="AC82" i="1"/>
  <c r="AE82" i="1"/>
  <c r="L83" i="1" s="1"/>
  <c r="AJ83" i="1" s="1"/>
  <c r="U83" i="1" l="1"/>
  <c r="W83" i="1" l="1"/>
  <c r="Z83" i="1" l="1"/>
  <c r="AA83" i="1" s="1"/>
  <c r="AB83" i="1"/>
  <c r="AE83" i="1" s="1"/>
  <c r="L84" i="1" s="1"/>
  <c r="N84" i="1"/>
  <c r="X95" i="1"/>
  <c r="Y95" i="1" s="1"/>
  <c r="T88" i="1" l="1"/>
  <c r="S87" i="1"/>
  <c r="R84" i="1"/>
  <c r="AK84" i="1"/>
  <c r="AJ84" i="1"/>
  <c r="AC83" i="1"/>
  <c r="V84" i="1"/>
  <c r="AD84" i="1"/>
  <c r="AF84" i="1" s="1"/>
  <c r="Q84" i="1"/>
  <c r="AG84" i="1" s="1"/>
  <c r="P84" i="1"/>
  <c r="AI86" i="1" l="1"/>
  <c r="U84" i="1"/>
  <c r="W84" i="1" l="1"/>
  <c r="AB84" i="1" s="1"/>
  <c r="X96" i="1" l="1"/>
  <c r="Y96" i="1" s="1"/>
  <c r="Z84" i="1"/>
  <c r="AA84" i="1" s="1"/>
  <c r="V85" i="1" l="1"/>
  <c r="AC84" i="1"/>
  <c r="N85" i="1"/>
  <c r="AE84" i="1"/>
  <c r="L85" i="1" s="1"/>
  <c r="D44" i="1" s="1"/>
  <c r="Q85" i="1" l="1"/>
  <c r="AG85" i="1" s="1"/>
  <c r="S88" i="1"/>
  <c r="T89" i="1"/>
  <c r="AD85" i="1"/>
  <c r="R85" i="1"/>
  <c r="P85" i="1"/>
  <c r="AJ85" i="1"/>
  <c r="AI85" i="1" l="1"/>
  <c r="AI87" i="1"/>
  <c r="U85" i="1"/>
  <c r="W85" i="1" l="1"/>
  <c r="AB85" i="1" s="1"/>
  <c r="Z85" i="1" l="1"/>
  <c r="AA85" i="1" s="1"/>
  <c r="N86" i="1"/>
  <c r="X97" i="1"/>
  <c r="Y97" i="1" s="1"/>
  <c r="Q86" i="1" l="1"/>
  <c r="AG86" i="1" s="1"/>
  <c r="T90" i="1"/>
  <c r="R86" i="1"/>
  <c r="S89" i="1"/>
  <c r="V86" i="1"/>
  <c r="AC85" i="1"/>
  <c r="AD86" i="1"/>
  <c r="AF86" i="1" s="1"/>
  <c r="P86" i="1"/>
  <c r="AE85" i="1"/>
  <c r="L86" i="1" s="1"/>
  <c r="AJ86" i="1" s="1"/>
  <c r="U86" i="1" l="1"/>
  <c r="W86" i="1" s="1"/>
  <c r="Z86" i="1" s="1"/>
  <c r="AA86" i="1" s="1"/>
  <c r="AI88" i="1"/>
  <c r="AB86" i="1" l="1"/>
  <c r="N87" i="1"/>
  <c r="X98" i="1"/>
  <c r="Y98" i="1" s="1"/>
  <c r="Q87" i="1" l="1"/>
  <c r="AG87" i="1" s="1"/>
  <c r="R87" i="1"/>
  <c r="V87" i="1"/>
  <c r="AC86" i="1"/>
  <c r="AE86" i="1"/>
  <c r="L87" i="1" s="1"/>
  <c r="AJ87" i="1" s="1"/>
  <c r="P87" i="1"/>
  <c r="AD87" i="1"/>
  <c r="S90" i="1"/>
  <c r="T91" i="1"/>
  <c r="U87" i="1" l="1"/>
  <c r="W87" i="1" s="1"/>
  <c r="AB87" i="1" s="1"/>
  <c r="Z87" i="1" l="1"/>
  <c r="AA87" i="1" s="1"/>
  <c r="N88" i="1"/>
  <c r="X99" i="1"/>
  <c r="Y99" i="1" s="1"/>
  <c r="T92" i="1" l="1"/>
  <c r="S91" i="1"/>
  <c r="R88" i="1"/>
  <c r="V88" i="1"/>
  <c r="AC87" i="1"/>
  <c r="AD88" i="1"/>
  <c r="AF88" i="1" s="1"/>
  <c r="P88" i="1"/>
  <c r="Q88" i="1"/>
  <c r="AG88" i="1" s="1"/>
  <c r="AE87" i="1"/>
  <c r="L88" i="1" s="1"/>
  <c r="AJ88" i="1" s="1"/>
  <c r="AI90" i="1" l="1"/>
  <c r="U88" i="1"/>
  <c r="W88" i="1" l="1"/>
  <c r="AB88" i="1" s="1"/>
  <c r="X100" i="1" l="1"/>
  <c r="Y100" i="1" s="1"/>
  <c r="Z88" i="1"/>
  <c r="AA88" i="1" s="1"/>
  <c r="AC88" i="1" l="1"/>
  <c r="V89" i="1"/>
  <c r="AE88" i="1"/>
  <c r="L89" i="1" s="1"/>
  <c r="AJ89" i="1" s="1"/>
  <c r="N89" i="1"/>
  <c r="T93" i="1" l="1"/>
  <c r="Q89" i="1"/>
  <c r="AG89" i="1" s="1"/>
  <c r="S92" i="1"/>
  <c r="P89" i="1"/>
  <c r="AD89" i="1"/>
  <c r="R89" i="1"/>
  <c r="AI91" i="1" l="1"/>
  <c r="AI89" i="1"/>
  <c r="U89" i="1"/>
  <c r="W89" i="1" l="1"/>
  <c r="AB89" i="1" s="1"/>
  <c r="Z89" i="1"/>
  <c r="AA89" i="1" s="1"/>
  <c r="N90" i="1" l="1"/>
  <c r="X101" i="1"/>
  <c r="Y101" i="1" s="1"/>
  <c r="R90" i="1" l="1"/>
  <c r="Q90" i="1"/>
  <c r="AG90" i="1" s="1"/>
  <c r="T94" i="1"/>
  <c r="S93" i="1"/>
  <c r="V90" i="1"/>
  <c r="AC89" i="1"/>
  <c r="AE89" i="1"/>
  <c r="L90" i="1" s="1"/>
  <c r="AD90" i="1"/>
  <c r="AF90" i="1" s="1"/>
  <c r="P90" i="1"/>
  <c r="U90" i="1" l="1"/>
  <c r="W90" i="1"/>
  <c r="AB90" i="1" s="1"/>
  <c r="AK90" i="1"/>
  <c r="AJ90" i="1"/>
  <c r="X102" i="1" l="1"/>
  <c r="Y102" i="1" s="1"/>
  <c r="Z90" i="1"/>
  <c r="AA90" i="1" s="1"/>
  <c r="N91" i="1" l="1"/>
  <c r="AE90" i="1"/>
  <c r="L91" i="1" s="1"/>
  <c r="AJ91" i="1" s="1"/>
  <c r="AC90" i="1"/>
  <c r="V91" i="1"/>
  <c r="Q91" i="1" l="1"/>
  <c r="AG91" i="1" s="1"/>
  <c r="R91" i="1"/>
  <c r="AD91" i="1"/>
  <c r="T95" i="1"/>
  <c r="P91" i="1"/>
  <c r="S94" i="1"/>
  <c r="U91" i="1" l="1"/>
  <c r="W91" i="1" l="1"/>
  <c r="AB91" i="1" s="1"/>
  <c r="X103" i="1" l="1"/>
  <c r="Y103" i="1" s="1"/>
  <c r="Z91" i="1"/>
  <c r="AA91" i="1" s="1"/>
  <c r="AC91" i="1" l="1"/>
  <c r="V92" i="1"/>
  <c r="AE91" i="1"/>
  <c r="L92" i="1" s="1"/>
  <c r="AJ92" i="1" s="1"/>
  <c r="N92" i="1"/>
  <c r="R92" i="1" l="1"/>
  <c r="T96" i="1"/>
  <c r="S95" i="1"/>
  <c r="AD92" i="1"/>
  <c r="AF92" i="1" s="1"/>
  <c r="Q92" i="1"/>
  <c r="AG92" i="1" s="1"/>
  <c r="P92" i="1"/>
  <c r="AI92" i="1" l="1"/>
  <c r="AI94" i="1"/>
  <c r="U92" i="1"/>
  <c r="W92" i="1" l="1"/>
  <c r="AB92" i="1" s="1"/>
  <c r="X104" i="1" l="1"/>
  <c r="Y104" i="1" s="1"/>
  <c r="Z92" i="1"/>
  <c r="AA92" i="1" l="1"/>
  <c r="AH92" i="1"/>
  <c r="AC92" i="1"/>
  <c r="V93" i="1"/>
  <c r="AE92" i="1"/>
  <c r="L93" i="1" s="1"/>
  <c r="AJ93" i="1" s="1"/>
  <c r="N93" i="1"/>
  <c r="S96" i="1" l="1"/>
  <c r="T97" i="1"/>
  <c r="Q93" i="1"/>
  <c r="AG93" i="1" s="1"/>
  <c r="AD93" i="1"/>
  <c r="R93" i="1"/>
  <c r="P93" i="1"/>
  <c r="U93" i="1" l="1"/>
  <c r="W93" i="1"/>
  <c r="AB93" i="1" s="1"/>
  <c r="AI93" i="1"/>
  <c r="X105" i="1" l="1"/>
  <c r="Y105" i="1" s="1"/>
  <c r="Z93" i="1"/>
  <c r="AA93" i="1" s="1"/>
  <c r="AE93" i="1" l="1"/>
  <c r="L94" i="1" s="1"/>
  <c r="AJ94" i="1" s="1"/>
  <c r="N94" i="1"/>
  <c r="V94" i="1"/>
  <c r="AC93" i="1"/>
  <c r="Q94" i="1" l="1"/>
  <c r="AG94" i="1" s="1"/>
  <c r="R94" i="1"/>
  <c r="T98" i="1"/>
  <c r="S97" i="1"/>
  <c r="P94" i="1"/>
  <c r="AD94" i="1"/>
  <c r="AF94" i="1" s="1"/>
  <c r="U94" i="1" l="1"/>
  <c r="W94" i="1" s="1"/>
  <c r="AB94" i="1" s="1"/>
  <c r="AI96" i="1"/>
  <c r="X106" i="1" l="1"/>
  <c r="Y106" i="1" s="1"/>
  <c r="Z94" i="1"/>
  <c r="AA94" i="1" s="1"/>
  <c r="AE94" i="1" l="1"/>
  <c r="L95" i="1" s="1"/>
  <c r="AJ95" i="1" s="1"/>
  <c r="N95" i="1"/>
  <c r="V95" i="1"/>
  <c r="AC94" i="1"/>
  <c r="R95" i="1" l="1"/>
  <c r="Q95" i="1"/>
  <c r="AG95" i="1" s="1"/>
  <c r="AD95" i="1"/>
  <c r="P95" i="1"/>
  <c r="AI95" i="1" s="1"/>
  <c r="T99" i="1"/>
  <c r="S98" i="1"/>
  <c r="U95" i="1" l="1"/>
  <c r="W95" i="1" l="1"/>
  <c r="AB95" i="1" s="1"/>
  <c r="Z95" i="1"/>
  <c r="AA95" i="1" s="1"/>
  <c r="N96" i="1" l="1"/>
  <c r="X107" i="1"/>
  <c r="Y107" i="1" s="1"/>
  <c r="R96" i="1" l="1"/>
  <c r="S99" i="1"/>
  <c r="T100" i="1"/>
  <c r="V96" i="1"/>
  <c r="AC95" i="1"/>
  <c r="P96" i="1"/>
  <c r="AD96" i="1"/>
  <c r="AF96" i="1" s="1"/>
  <c r="Q96" i="1"/>
  <c r="AG96" i="1" s="1"/>
  <c r="AE95" i="1"/>
  <c r="L96" i="1" s="1"/>
  <c r="AI98" i="1" l="1"/>
  <c r="AK96" i="1"/>
  <c r="AJ96" i="1"/>
  <c r="U96" i="1"/>
  <c r="W96" i="1" l="1"/>
  <c r="AB96" i="1" s="1"/>
  <c r="Z96" i="1" l="1"/>
  <c r="AA96" i="1" s="1"/>
  <c r="X108" i="1"/>
  <c r="Y108" i="1" s="1"/>
  <c r="N97" i="1" l="1"/>
  <c r="Q97" i="1" s="1"/>
  <c r="AG97" i="1" s="1"/>
  <c r="S100" i="1"/>
  <c r="T101" i="1"/>
  <c r="V97" i="1"/>
  <c r="AC96" i="1"/>
  <c r="AE96" i="1"/>
  <c r="L97" i="1" s="1"/>
  <c r="AJ97" i="1" s="1"/>
  <c r="AD97" i="1"/>
  <c r="P97" i="1"/>
  <c r="R97" i="1"/>
  <c r="AI97" i="1" l="1"/>
  <c r="U97" i="1"/>
  <c r="W97" i="1" l="1"/>
  <c r="AB97" i="1" s="1"/>
  <c r="Z97" i="1" l="1"/>
  <c r="AA97" i="1" s="1"/>
  <c r="X109" i="1"/>
  <c r="Y109" i="1" s="1"/>
  <c r="N98" i="1" l="1"/>
  <c r="Q98" i="1"/>
  <c r="AG98" i="1" s="1"/>
  <c r="R98" i="1"/>
  <c r="S101" i="1"/>
  <c r="T102" i="1"/>
  <c r="V98" i="1"/>
  <c r="AC97" i="1"/>
  <c r="AE97" i="1"/>
  <c r="L98" i="1" s="1"/>
  <c r="AJ98" i="1" s="1"/>
  <c r="AD98" i="1"/>
  <c r="AF98" i="1" s="1"/>
  <c r="P98" i="1"/>
  <c r="AI100" i="1" l="1"/>
  <c r="U98" i="1"/>
  <c r="W98" i="1" s="1"/>
  <c r="AB98" i="1" s="1"/>
  <c r="X110" i="1" l="1"/>
  <c r="Y110" i="1" s="1"/>
  <c r="Z98" i="1"/>
  <c r="AA98" i="1" s="1"/>
  <c r="V99" i="1" l="1"/>
  <c r="AC98" i="1"/>
  <c r="AE98" i="1"/>
  <c r="L99" i="1" s="1"/>
  <c r="AJ99" i="1" s="1"/>
  <c r="N99" i="1"/>
  <c r="R99" i="1" l="1"/>
  <c r="Q99" i="1"/>
  <c r="AG99" i="1" s="1"/>
  <c r="P99" i="1"/>
  <c r="AD99" i="1"/>
  <c r="T103" i="1"/>
  <c r="S102" i="1"/>
  <c r="U99" i="1" l="1"/>
  <c r="W99" i="1" s="1"/>
  <c r="AB99" i="1" s="1"/>
  <c r="AI99" i="1"/>
  <c r="X111" i="1" l="1"/>
  <c r="Y111" i="1" s="1"/>
  <c r="Z99" i="1"/>
  <c r="AA99" i="1" s="1"/>
  <c r="V100" i="1" l="1"/>
  <c r="AC99" i="1"/>
  <c r="N100" i="1"/>
  <c r="AE99" i="1"/>
  <c r="L100" i="1" s="1"/>
  <c r="AJ100" i="1" s="1"/>
  <c r="S103" i="1" l="1"/>
  <c r="T104" i="1"/>
  <c r="R100" i="1"/>
  <c r="AD100" i="1"/>
  <c r="AF100" i="1" s="1"/>
  <c r="P100" i="1"/>
  <c r="Q100" i="1"/>
  <c r="AG100" i="1" s="1"/>
  <c r="AI102" i="1" l="1"/>
  <c r="U100" i="1"/>
  <c r="W100" i="1" l="1"/>
  <c r="AB100" i="1" s="1"/>
  <c r="X112" i="1" l="1"/>
  <c r="Y112" i="1" s="1"/>
  <c r="Z100" i="1"/>
  <c r="AA100" i="1" s="1"/>
  <c r="V101" i="1" l="1"/>
  <c r="AC100" i="1"/>
  <c r="AE100" i="1"/>
  <c r="L101" i="1" s="1"/>
  <c r="AJ101" i="1" s="1"/>
  <c r="N101" i="1"/>
  <c r="S104" i="1" l="1"/>
  <c r="Q101" i="1"/>
  <c r="AG101" i="1" s="1"/>
  <c r="T105" i="1"/>
  <c r="P101" i="1"/>
  <c r="AD101" i="1"/>
  <c r="R101" i="1"/>
  <c r="AI103" i="1" l="1"/>
  <c r="AI101" i="1"/>
  <c r="U101" i="1"/>
  <c r="W101" i="1" l="1"/>
  <c r="AB101" i="1" s="1"/>
  <c r="Z101" i="1"/>
  <c r="AA101" i="1" s="1"/>
  <c r="X113" i="1" l="1"/>
  <c r="Y113" i="1" s="1"/>
  <c r="AE101" i="1"/>
  <c r="L102" i="1" s="1"/>
  <c r="N102" i="1"/>
  <c r="S105" i="1" l="1"/>
  <c r="Q102" i="1"/>
  <c r="AG102" i="1" s="1"/>
  <c r="R102" i="1"/>
  <c r="T106" i="1"/>
  <c r="V102" i="1"/>
  <c r="AC101" i="1"/>
  <c r="AD102" i="1"/>
  <c r="AF102" i="1" s="1"/>
  <c r="P102" i="1"/>
  <c r="AK102" i="1"/>
  <c r="AJ102" i="1"/>
  <c r="U102" i="1" l="1"/>
  <c r="AI104" i="1"/>
  <c r="W102" i="1"/>
  <c r="AB102" i="1" s="1"/>
  <c r="X114" i="1" l="1"/>
  <c r="Y114" i="1" s="1"/>
  <c r="Z102" i="1"/>
  <c r="AA102" i="1" s="1"/>
  <c r="AC102" i="1" l="1"/>
  <c r="V103" i="1"/>
  <c r="AE102" i="1"/>
  <c r="L103" i="1" s="1"/>
  <c r="AJ103" i="1" s="1"/>
  <c r="N103" i="1"/>
  <c r="R103" i="1" l="1"/>
  <c r="Q103" i="1"/>
  <c r="AG103" i="1" s="1"/>
  <c r="AD103" i="1"/>
  <c r="P103" i="1"/>
  <c r="S106" i="1"/>
  <c r="T107" i="1"/>
  <c r="U103" i="1" l="1"/>
  <c r="W103" i="1" l="1"/>
  <c r="AB103" i="1" s="1"/>
  <c r="Z103" i="1"/>
  <c r="AA103" i="1" l="1"/>
  <c r="AH103" i="1"/>
  <c r="V104" i="1"/>
  <c r="AC103" i="1"/>
  <c r="N104" i="1"/>
  <c r="R104" i="1" s="1"/>
  <c r="AE103" i="1"/>
  <c r="L104" i="1" s="1"/>
  <c r="AJ104" i="1" s="1"/>
  <c r="T108" i="1" l="1"/>
  <c r="S107" i="1"/>
  <c r="P104" i="1"/>
  <c r="AD104" i="1"/>
  <c r="AF104" i="1" s="1"/>
  <c r="Q104" i="1"/>
  <c r="AG104" i="1" s="1"/>
  <c r="U104" i="1" l="1"/>
  <c r="W104" i="1" l="1"/>
  <c r="AB104" i="1" s="1"/>
  <c r="Z104" i="1" l="1"/>
  <c r="N105" i="1"/>
  <c r="AE104" i="1"/>
  <c r="L105" i="1" s="1"/>
  <c r="AJ105" i="1" s="1"/>
  <c r="AA104" i="1" l="1"/>
  <c r="AH104" i="1"/>
  <c r="Q105" i="1"/>
  <c r="AG105" i="1" s="1"/>
  <c r="T109" i="1"/>
  <c r="S108" i="1"/>
  <c r="AC104" i="1"/>
  <c r="V105" i="1"/>
  <c r="P105" i="1"/>
  <c r="AD105" i="1"/>
  <c r="R105" i="1"/>
  <c r="U105" i="1" l="1"/>
  <c r="AI107" i="1"/>
  <c r="W105" i="1"/>
  <c r="Z105" i="1" s="1"/>
  <c r="AA105" i="1" s="1"/>
  <c r="AI105" i="1"/>
  <c r="AB105" i="1" l="1"/>
  <c r="AE105" i="1" s="1"/>
  <c r="L106" i="1" s="1"/>
  <c r="AJ106" i="1" s="1"/>
  <c r="N106" i="1"/>
  <c r="R106" i="1" l="1"/>
  <c r="S109" i="1"/>
  <c r="Q106" i="1"/>
  <c r="AG106" i="1" s="1"/>
  <c r="T110" i="1"/>
  <c r="V106" i="1"/>
  <c r="AC105" i="1"/>
  <c r="P106" i="1"/>
  <c r="AD106" i="1"/>
  <c r="AF106" i="1" s="1"/>
  <c r="U106" i="1" l="1"/>
  <c r="AI106" i="1"/>
  <c r="AI108" i="1"/>
  <c r="W106" i="1"/>
  <c r="AB106" i="1" s="1"/>
  <c r="Z106" i="1" l="1"/>
  <c r="AA106" i="1" s="1"/>
  <c r="AE106" i="1" l="1"/>
  <c r="L107" i="1" s="1"/>
  <c r="AJ107" i="1" s="1"/>
  <c r="N107" i="1"/>
  <c r="AC106" i="1"/>
  <c r="V107" i="1"/>
  <c r="AD107" i="1"/>
  <c r="T111" i="1"/>
  <c r="S110" i="1"/>
  <c r="P107" i="1" l="1"/>
  <c r="R107" i="1"/>
  <c r="Q107" i="1"/>
  <c r="AG107" i="1" s="1"/>
  <c r="U107" i="1" l="1"/>
  <c r="W107" i="1" s="1"/>
  <c r="Z107" i="1" s="1"/>
  <c r="AA107" i="1" s="1"/>
  <c r="AB107" i="1"/>
  <c r="AE107" i="1" s="1"/>
  <c r="L108" i="1" s="1"/>
  <c r="N108" i="1" l="1"/>
  <c r="R108" i="1"/>
  <c r="S111" i="1"/>
  <c r="T112" i="1"/>
  <c r="V108" i="1"/>
  <c r="AC107" i="1"/>
  <c r="AK108" i="1"/>
  <c r="AJ108" i="1"/>
  <c r="P108" i="1"/>
  <c r="AD108" i="1"/>
  <c r="AF108" i="1" s="1"/>
  <c r="Q108" i="1"/>
  <c r="AG108" i="1" s="1"/>
  <c r="AI110" i="1" l="1"/>
  <c r="U108" i="1"/>
  <c r="W108" i="1" l="1"/>
  <c r="AB108" i="1" s="1"/>
  <c r="Z108" i="1" l="1"/>
  <c r="AA108" i="1" s="1"/>
  <c r="AE108" i="1"/>
  <c r="L109" i="1" s="1"/>
  <c r="AJ109" i="1" s="1"/>
  <c r="N109" i="1" l="1"/>
  <c r="Q109" i="1"/>
  <c r="AG109" i="1" s="1"/>
  <c r="S112" i="1"/>
  <c r="T113" i="1"/>
  <c r="AC108" i="1"/>
  <c r="V109" i="1"/>
  <c r="P109" i="1"/>
  <c r="AD109" i="1"/>
  <c r="R109" i="1"/>
  <c r="U109" i="1" l="1"/>
  <c r="AI111" i="1"/>
  <c r="W109" i="1"/>
  <c r="Z109" i="1" s="1"/>
  <c r="AA109" i="1" s="1"/>
  <c r="AI109" i="1"/>
  <c r="AB109" i="1" l="1"/>
  <c r="N110" i="1"/>
  <c r="AE109" i="1"/>
  <c r="L110" i="1" s="1"/>
  <c r="AJ110" i="1" s="1"/>
  <c r="T114" i="1" l="1"/>
  <c r="S113" i="1"/>
  <c r="R110" i="1"/>
  <c r="Q110" i="1"/>
  <c r="AG110" i="1" s="1"/>
  <c r="V110" i="1"/>
  <c r="AC109" i="1"/>
  <c r="P110" i="1"/>
  <c r="AD110" i="1"/>
  <c r="AF110" i="1" s="1"/>
  <c r="U110" i="1" l="1"/>
  <c r="AI112" i="1"/>
  <c r="W110" i="1"/>
  <c r="AB110" i="1" s="1"/>
  <c r="Z110" i="1" l="1"/>
  <c r="AA110" i="1" s="1"/>
  <c r="AE110" i="1"/>
  <c r="L111" i="1" s="1"/>
  <c r="AJ111" i="1" s="1"/>
  <c r="N111" i="1"/>
  <c r="Q111" i="1" l="1"/>
  <c r="AG111" i="1" s="1"/>
  <c r="R111" i="1"/>
  <c r="AC110" i="1"/>
  <c r="V111" i="1"/>
  <c r="P111" i="1"/>
  <c r="U111" i="1" s="1"/>
  <c r="AD111" i="1"/>
  <c r="S114" i="1"/>
  <c r="W111" i="1" l="1"/>
  <c r="AB111" i="1" s="1"/>
  <c r="Z111" i="1" l="1"/>
  <c r="AA111" i="1" s="1"/>
  <c r="N112" i="1"/>
  <c r="R112" i="1" s="1"/>
  <c r="AE111" i="1"/>
  <c r="L112" i="1" s="1"/>
  <c r="AJ112" i="1" s="1"/>
  <c r="V112" i="1" l="1"/>
  <c r="AC111" i="1"/>
  <c r="AD112" i="1"/>
  <c r="AF112" i="1" s="1"/>
  <c r="P112" i="1"/>
  <c r="Q112" i="1"/>
  <c r="AG112" i="1" s="1"/>
  <c r="AI114" i="1" l="1"/>
  <c r="U112" i="1"/>
  <c r="W112" i="1" l="1"/>
  <c r="AB112" i="1" s="1"/>
  <c r="Z112" i="1" l="1"/>
  <c r="AA112" i="1" s="1"/>
  <c r="AE112" i="1"/>
  <c r="L113" i="1" s="1"/>
  <c r="AJ113" i="1" s="1"/>
  <c r="N113" i="1" l="1"/>
  <c r="Q113" i="1" s="1"/>
  <c r="AG113" i="1" s="1"/>
  <c r="AC112" i="1"/>
  <c r="V113" i="1"/>
  <c r="AD113" i="1"/>
  <c r="P113" i="1"/>
  <c r="R113" i="1"/>
  <c r="U113" i="1" s="1"/>
  <c r="W113" i="1" l="1"/>
  <c r="AB113" i="1" s="1"/>
  <c r="Z113" i="1"/>
  <c r="AA113" i="1" s="1"/>
  <c r="AI113" i="1"/>
  <c r="AC113" i="1" l="1"/>
  <c r="V114" i="1"/>
  <c r="N114" i="1"/>
  <c r="AE113" i="1"/>
  <c r="L114" i="1" s="1"/>
  <c r="Q114" i="1" l="1"/>
  <c r="AG114" i="1" s="1"/>
  <c r="R114" i="1"/>
  <c r="AK114" i="1"/>
  <c r="AJ114" i="1"/>
  <c r="AD114" i="1"/>
  <c r="AF114" i="1" s="1"/>
  <c r="P114" i="1"/>
  <c r="U114" i="1" s="1"/>
  <c r="W114" i="1" l="1"/>
  <c r="AB114" i="1" s="1"/>
  <c r="Z114" i="1" l="1"/>
  <c r="AC114" i="1"/>
  <c r="AA114" i="1" l="1"/>
  <c r="AH114" i="1"/>
  <c r="AE114" i="1"/>
</calcChain>
</file>

<file path=xl/sharedStrings.xml><?xml version="1.0" encoding="utf-8"?>
<sst xmlns="http://schemas.openxmlformats.org/spreadsheetml/2006/main" count="148" uniqueCount="65">
  <si>
    <t>Input Parameters</t>
  </si>
  <si>
    <t>Summer or fall</t>
  </si>
  <si>
    <t>Enter "S" for summer continual broodrearing, or "F" for fall diminishing brood (no egg-laying  last 4 weeks, no sealed brood the last week).</t>
  </si>
  <si>
    <t>ASSUMPTIONS</t>
  </si>
  <si>
    <t>Starting mite pop</t>
  </si>
  <si>
    <t>Enter starting total mite population in the hive (suggest 3000).</t>
  </si>
  <si>
    <t>Treatment intervals</t>
  </si>
  <si>
    <t>Leave blank for no treatments;  Enter  4, 7, 10, 14, or "C" (for custom) number of days between OAV applications.</t>
  </si>
  <si>
    <t>Expected efficacy</t>
  </si>
  <si>
    <t/>
  </si>
  <si>
    <t>Summer</t>
  </si>
  <si>
    <t>Day</t>
  </si>
  <si>
    <t>Establishment of 12 days of sealed brood with mites</t>
  </si>
  <si>
    <t>Starting number of mites</t>
  </si>
  <si>
    <t>Calculated days of "phoresy"</t>
  </si>
  <si>
    <t>No.  "phoretic"</t>
  </si>
  <si>
    <t xml:space="preserve">Expected cumulative efficacy </t>
  </si>
  <si>
    <t>% of expected total kill of "phoretics"</t>
  </si>
  <si>
    <t>Post-kill "phoretic" survivors</t>
  </si>
  <si>
    <t>Starting mites  in brood</t>
  </si>
  <si>
    <t>"Phoretic" entering brood</t>
  </si>
  <si>
    <t>Foundresses exiting brood</t>
  </si>
  <si>
    <t>Additional mites from repro</t>
  </si>
  <si>
    <t>Remaining  "phoretics"</t>
  </si>
  <si>
    <t>Net change in phoretics</t>
  </si>
  <si>
    <t>Ending mites in brood</t>
  </si>
  <si>
    <t>Net change mites in brood</t>
  </si>
  <si>
    <t>Expected daily mite mortality</t>
  </si>
  <si>
    <t>Ending total mite pop</t>
  </si>
  <si>
    <t>Expected 24-hr mite drop count</t>
  </si>
  <si>
    <t>48-hr drop count</t>
  </si>
  <si>
    <t>Expected mite wash count</t>
  </si>
  <si>
    <t>Percent kill of total population</t>
  </si>
  <si>
    <t>Daily r</t>
  </si>
  <si>
    <t xml:space="preserve">Mite pop labels </t>
  </si>
  <si>
    <t xml:space="preserve">4-day </t>
  </si>
  <si>
    <t>5-day</t>
  </si>
  <si>
    <t>7-day</t>
  </si>
  <si>
    <t>10-day</t>
  </si>
  <si>
    <t>14-day</t>
  </si>
  <si>
    <t>OAV appl</t>
  </si>
  <si>
    <t>No. combs 65% covered w brood</t>
  </si>
  <si>
    <t>Cells of brood (x 4500)</t>
  </si>
  <si>
    <t>Combs covered with bees</t>
  </si>
  <si>
    <t>Est. no of adult bees (x1800)</t>
  </si>
  <si>
    <t>Calc'd days "phoretic"</t>
  </si>
  <si>
    <t>Est. no. of bees per comb</t>
  </si>
  <si>
    <t>Est. no of adult bees</t>
  </si>
  <si>
    <t>Bees to brood</t>
  </si>
  <si>
    <t>Broodless</t>
  </si>
  <si>
    <t>Growth factors</t>
  </si>
  <si>
    <r>
      <t xml:space="preserve">Enter "1" for custom OAV applications </t>
    </r>
    <r>
      <rPr>
        <b/>
        <sz val="10"/>
        <rFont val="Wingdings 3"/>
        <family val="1"/>
        <charset val="2"/>
      </rPr>
      <t>i</t>
    </r>
  </si>
  <si>
    <t>Fall</t>
  </si>
  <si>
    <t xml:space="preserve">Enter the estimated overall % kill of the "phoretic" mites from each OAV treatment. </t>
  </si>
  <si>
    <t>This model is a work in progress.  Please let me know if you spot any errors (randy@randyoliver.com)</t>
  </si>
  <si>
    <t>Brood status</t>
  </si>
  <si>
    <t>No eggs</t>
  </si>
  <si>
    <t>Decreasing</t>
  </si>
  <si>
    <t>Days or dates</t>
  </si>
  <si>
    <t xml:space="preserve"> Fall windown</t>
  </si>
  <si>
    <t>Assumed number of bees in the colony with a high brood:adult bee ratio due to natural bloom or feeding</t>
  </si>
  <si>
    <t>Assumed average mite daughters per cycle</t>
  </si>
  <si>
    <t>VALIDATION CHECK</t>
  </si>
  <si>
    <t>F</t>
  </si>
  <si>
    <r>
      <rPr>
        <b/>
        <i/>
        <sz val="10"/>
        <color rgb="FF7030A0"/>
        <rFont val="Arial"/>
        <family val="2"/>
      </rPr>
      <t>In absence of  treatments</t>
    </r>
    <r>
      <rPr>
        <sz val="10"/>
        <color rgb="FF7030A0"/>
        <rFont val="Arial"/>
        <family val="2"/>
      </rPr>
      <t>, the calculated daily bee r-value ( 0.021 -0.023 for Summer; ~0.19 for Fall)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</si>
</sst>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quot;-day&quot;"/>
    <numFmt numFmtId="165" formatCode="0.000"/>
    <numFmt numFmtId="166" formatCode="0.0"/>
    <numFmt numFmtId="167" formatCode="#,##0.0"/>
    <numFmt numFmtId="168" formatCode="0;\-0;;@"/>
    <numFmt numFmtId="169" formatCode="[$-409]d\-mmm;@"/>
  </numFmts>
  <fonts count="12" x14ac:knownFonts="1">
    <font>
      <sz val="10"/>
      <name val="Arial"/>
      <family val="2"/>
    </font>
    <font>
      <b/>
      <sz val="10"/>
      <name val="Arial"/>
      <family val="2"/>
    </font>
    <font>
      <sz val="10"/>
      <color rgb="FF7030A0"/>
      <name val="Arial"/>
      <family val="2"/>
    </font>
    <font>
      <sz val="10"/>
      <color theme="1"/>
      <name val="Arial"/>
      <family val="2"/>
    </font>
    <font>
      <b/>
      <sz val="10"/>
      <color rgb="FF7030A0"/>
      <name val="Arial"/>
      <family val="2"/>
    </font>
    <font>
      <b/>
      <i/>
      <sz val="10"/>
      <color rgb="FF7030A0"/>
      <name val="Arial"/>
      <family val="2"/>
    </font>
    <font>
      <b/>
      <sz val="10"/>
      <color rgb="FF0070C0"/>
      <name val="Arial"/>
      <family val="2"/>
    </font>
    <font>
      <sz val="10"/>
      <color rgb="FF0070C0"/>
      <name val="Arial"/>
      <family val="2"/>
    </font>
    <font>
      <b/>
      <sz val="10"/>
      <color rgb="FFFF0000"/>
      <name val="Arial"/>
      <family val="2"/>
    </font>
    <font>
      <b/>
      <sz val="10"/>
      <color theme="1"/>
      <name val="Arial"/>
      <family val="2"/>
    </font>
    <font>
      <b/>
      <sz val="10"/>
      <name val="Wingdings 3"/>
      <family val="1"/>
      <charset val="2"/>
    </font>
    <font>
      <sz val="11"/>
      <color rgb="FFFF0000"/>
      <name val="Calibri"/>
      <family val="2"/>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theme="5" tint="0.59999389629810485"/>
        <bgColor indexed="64"/>
      </patternFill>
    </fill>
    <fill>
      <patternFill patternType="solid">
        <fgColor rgb="FFB8FA26"/>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0" tint="-0.249977111117893"/>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118">
    <xf numFmtId="0" fontId="0" fillId="0" borderId="0" xfId="0"/>
    <xf numFmtId="0" fontId="0" fillId="0" borderId="0" xfId="0" applyAlignment="1">
      <alignment horizontal="center"/>
    </xf>
    <xf numFmtId="0" fontId="2" fillId="0" borderId="0" xfId="0" applyFont="1" applyAlignment="1">
      <alignment horizontal="center"/>
    </xf>
    <xf numFmtId="0" fontId="0" fillId="0" borderId="2" xfId="0" applyBorder="1" applyAlignment="1">
      <alignment horizontal="right"/>
    </xf>
    <xf numFmtId="0" fontId="1" fillId="0" borderId="0" xfId="0" applyFont="1" applyAlignment="1">
      <alignment horizontal="left"/>
    </xf>
    <xf numFmtId="0" fontId="0" fillId="0" borderId="2" xfId="0" applyBorder="1" applyAlignment="1">
      <alignment horizontal="center" wrapText="1"/>
    </xf>
    <xf numFmtId="0" fontId="3" fillId="0" borderId="2" xfId="0" applyFont="1" applyBorder="1" applyAlignment="1">
      <alignment horizontal="left"/>
    </xf>
    <xf numFmtId="0" fontId="0" fillId="0" borderId="2" xfId="0" applyBorder="1"/>
    <xf numFmtId="9" fontId="1" fillId="2" borderId="2" xfId="0" applyNumberFormat="1" applyFont="1" applyFill="1" applyBorder="1" applyAlignment="1">
      <alignment horizontal="center"/>
    </xf>
    <xf numFmtId="0" fontId="1" fillId="0" borderId="4" xfId="0" applyFont="1" applyBorder="1"/>
    <xf numFmtId="0" fontId="1" fillId="0" borderId="0" xfId="0" applyFont="1"/>
    <xf numFmtId="1" fontId="0" fillId="0" borderId="0" xfId="0" applyNumberFormat="1" applyAlignment="1">
      <alignment horizontal="center"/>
    </xf>
    <xf numFmtId="0" fontId="6" fillId="0" borderId="0" xfId="0" applyFont="1" applyAlignment="1">
      <alignment horizontal="center" vertical="center" wrapText="1"/>
    </xf>
    <xf numFmtId="1" fontId="6" fillId="3" borderId="0" xfId="0" applyNumberFormat="1" applyFont="1" applyFill="1" applyAlignment="1">
      <alignment horizontal="center"/>
    </xf>
    <xf numFmtId="0" fontId="7" fillId="0" borderId="0" xfId="0" applyFont="1" applyAlignment="1">
      <alignment horizontal="left"/>
    </xf>
    <xf numFmtId="0" fontId="6" fillId="0" borderId="0" xfId="0" applyFont="1" applyAlignment="1">
      <alignment horizontal="center"/>
    </xf>
    <xf numFmtId="9" fontId="6" fillId="0" borderId="0" xfId="0" applyNumberFormat="1" applyFont="1" applyAlignment="1">
      <alignment horizontal="center" vertical="center" wrapText="1"/>
    </xf>
    <xf numFmtId="9" fontId="6" fillId="3" borderId="0" xfId="0" applyNumberFormat="1" applyFont="1" applyFill="1" applyAlignment="1">
      <alignment horizontal="center"/>
    </xf>
    <xf numFmtId="9" fontId="6" fillId="0" borderId="0" xfId="0" applyNumberFormat="1" applyFont="1" applyAlignment="1">
      <alignment horizontal="center"/>
    </xf>
    <xf numFmtId="9" fontId="1" fillId="0" borderId="0" xfId="0" applyNumberFormat="1" applyFont="1" applyAlignment="1">
      <alignment horizontal="center"/>
    </xf>
    <xf numFmtId="9" fontId="0" fillId="0" borderId="0" xfId="0" applyNumberFormat="1"/>
    <xf numFmtId="9" fontId="0" fillId="0" borderId="0" xfId="0" applyNumberFormat="1" applyAlignment="1">
      <alignment horizontal="center"/>
    </xf>
    <xf numFmtId="0" fontId="1" fillId="0" borderId="2" xfId="0" applyFont="1" applyBorder="1" applyAlignment="1">
      <alignment horizontal="center"/>
    </xf>
    <xf numFmtId="0" fontId="1" fillId="4" borderId="3" xfId="0" applyFont="1" applyFill="1" applyBorder="1" applyAlignment="1">
      <alignment horizontal="center" wrapText="1"/>
    </xf>
    <xf numFmtId="0" fontId="1" fillId="0" borderId="2" xfId="0" applyFont="1" applyBorder="1" applyAlignment="1">
      <alignment horizontal="center" wrapText="1"/>
    </xf>
    <xf numFmtId="0" fontId="1" fillId="5" borderId="2" xfId="0" applyFont="1" applyFill="1" applyBorder="1" applyAlignment="1">
      <alignment horizontal="center" wrapText="1"/>
    </xf>
    <xf numFmtId="0" fontId="1" fillId="2" borderId="2" xfId="0" applyFont="1" applyFill="1" applyBorder="1" applyAlignment="1">
      <alignment horizontal="center" wrapText="1"/>
    </xf>
    <xf numFmtId="0" fontId="1" fillId="6" borderId="2" xfId="0" applyFont="1" applyFill="1" applyBorder="1" applyAlignment="1">
      <alignment horizontal="center" wrapText="1"/>
    </xf>
    <xf numFmtId="0" fontId="6" fillId="0" borderId="2" xfId="0" applyFont="1" applyBorder="1" applyAlignment="1">
      <alignment horizontal="center" wrapText="1"/>
    </xf>
    <xf numFmtId="0" fontId="6" fillId="0" borderId="6" xfId="0" applyFont="1" applyBorder="1" applyAlignment="1">
      <alignment horizontal="center" wrapText="1"/>
    </xf>
    <xf numFmtId="0" fontId="2" fillId="0" borderId="2" xfId="0" applyFont="1" applyBorder="1" applyAlignment="1">
      <alignment horizontal="center"/>
    </xf>
    <xf numFmtId="0" fontId="1" fillId="7" borderId="2" xfId="0" applyFont="1" applyFill="1" applyBorder="1" applyAlignment="1">
      <alignment horizontal="center" wrapText="1"/>
    </xf>
    <xf numFmtId="0" fontId="1" fillId="8" borderId="2" xfId="0" applyFont="1" applyFill="1" applyBorder="1" applyAlignment="1">
      <alignment horizontal="center" wrapText="1"/>
    </xf>
    <xf numFmtId="0" fontId="1" fillId="4" borderId="2" xfId="0" applyFont="1" applyFill="1" applyBorder="1" applyAlignment="1">
      <alignment horizontal="center"/>
    </xf>
    <xf numFmtId="1" fontId="8" fillId="0" borderId="2" xfId="0" applyNumberFormat="1" applyFont="1" applyBorder="1" applyAlignment="1">
      <alignment horizontal="center"/>
    </xf>
    <xf numFmtId="166" fontId="1" fillId="0" borderId="2" xfId="0" applyNumberFormat="1" applyFont="1" applyBorder="1" applyAlignment="1">
      <alignment horizontal="center"/>
    </xf>
    <xf numFmtId="1" fontId="1" fillId="5" borderId="2" xfId="0" applyNumberFormat="1" applyFont="1" applyFill="1" applyBorder="1" applyAlignment="1">
      <alignment horizontal="center"/>
    </xf>
    <xf numFmtId="9" fontId="1" fillId="9" borderId="2" xfId="0" applyNumberFormat="1" applyFont="1" applyFill="1" applyBorder="1" applyAlignment="1">
      <alignment horizontal="center"/>
    </xf>
    <xf numFmtId="9" fontId="9" fillId="2" borderId="2" xfId="0" applyNumberFormat="1" applyFont="1" applyFill="1" applyBorder="1" applyAlignment="1">
      <alignment horizontal="center"/>
    </xf>
    <xf numFmtId="1" fontId="9" fillId="5" borderId="2" xfId="0" applyNumberFormat="1" applyFont="1" applyFill="1" applyBorder="1" applyAlignment="1">
      <alignment horizontal="center"/>
    </xf>
    <xf numFmtId="1" fontId="1" fillId="6" borderId="2" xfId="0" applyNumberFormat="1" applyFont="1" applyFill="1" applyBorder="1" applyAlignment="1">
      <alignment horizontal="center"/>
    </xf>
    <xf numFmtId="1" fontId="1" fillId="4" borderId="2" xfId="0" applyNumberFormat="1" applyFont="1" applyFill="1" applyBorder="1" applyAlignment="1">
      <alignment horizontal="center"/>
    </xf>
    <xf numFmtId="1" fontId="1" fillId="0" borderId="2" xfId="0" applyNumberFormat="1" applyFont="1" applyBorder="1" applyAlignment="1">
      <alignment horizontal="center"/>
    </xf>
    <xf numFmtId="1" fontId="6" fillId="3" borderId="2" xfId="0" applyNumberFormat="1" applyFont="1" applyFill="1" applyBorder="1" applyAlignment="1">
      <alignment horizontal="center"/>
    </xf>
    <xf numFmtId="1" fontId="6" fillId="3" borderId="6" xfId="0" applyNumberFormat="1" applyFont="1" applyFill="1" applyBorder="1" applyAlignment="1">
      <alignment horizontal="center"/>
    </xf>
    <xf numFmtId="1" fontId="6" fillId="0" borderId="6" xfId="0" applyNumberFormat="1" applyFont="1" applyBorder="1" applyAlignment="1">
      <alignment horizontal="center"/>
    </xf>
    <xf numFmtId="9" fontId="6" fillId="0" borderId="2" xfId="0" applyNumberFormat="1" applyFont="1" applyBorder="1" applyAlignment="1">
      <alignment horizontal="center"/>
    </xf>
    <xf numFmtId="165" fontId="2" fillId="0" borderId="2" xfId="0" applyNumberFormat="1" applyFont="1" applyBorder="1" applyAlignment="1">
      <alignment horizontal="center"/>
    </xf>
    <xf numFmtId="9" fontId="1" fillId="4" borderId="2" xfId="0" applyNumberFormat="1" applyFont="1" applyFill="1" applyBorder="1" applyAlignment="1">
      <alignment horizontal="center"/>
    </xf>
    <xf numFmtId="1" fontId="1" fillId="7" borderId="2" xfId="0" applyNumberFormat="1" applyFont="1" applyFill="1" applyBorder="1" applyAlignment="1">
      <alignment horizontal="center"/>
    </xf>
    <xf numFmtId="3" fontId="1" fillId="7" borderId="2" xfId="0" applyNumberFormat="1" applyFont="1" applyFill="1" applyBorder="1" applyAlignment="1">
      <alignment horizontal="center"/>
    </xf>
    <xf numFmtId="166" fontId="1" fillId="7" borderId="2" xfId="0" applyNumberFormat="1" applyFont="1" applyFill="1" applyBorder="1" applyAlignment="1">
      <alignment horizontal="center"/>
    </xf>
    <xf numFmtId="166" fontId="1" fillId="8" borderId="2" xfId="0" applyNumberFormat="1" applyFont="1" applyFill="1" applyBorder="1" applyAlignment="1">
      <alignment horizontal="center"/>
    </xf>
    <xf numFmtId="3" fontId="1" fillId="8" borderId="2" xfId="0" applyNumberFormat="1" applyFont="1" applyFill="1" applyBorder="1" applyAlignment="1">
      <alignment horizontal="center"/>
    </xf>
    <xf numFmtId="167" fontId="1" fillId="8" borderId="2" xfId="0" applyNumberFormat="1" applyFont="1" applyFill="1" applyBorder="1" applyAlignment="1">
      <alignment horizontal="center"/>
    </xf>
    <xf numFmtId="0" fontId="0" fillId="0" borderId="2" xfId="0" applyBorder="1" applyAlignment="1">
      <alignment horizontal="center"/>
    </xf>
    <xf numFmtId="168" fontId="1" fillId="9" borderId="2" xfId="0" applyNumberFormat="1" applyFont="1" applyFill="1" applyBorder="1" applyAlignment="1">
      <alignment horizontal="center"/>
    </xf>
    <xf numFmtId="1" fontId="6" fillId="0" borderId="2" xfId="0" applyNumberFormat="1" applyFont="1" applyBorder="1" applyAlignment="1">
      <alignment horizontal="center"/>
    </xf>
    <xf numFmtId="1" fontId="0" fillId="0" borderId="2" xfId="0" applyNumberFormat="1" applyBorder="1" applyAlignment="1">
      <alignment horizontal="center"/>
    </xf>
    <xf numFmtId="1" fontId="1" fillId="8" borderId="2" xfId="0" applyNumberFormat="1" applyFont="1" applyFill="1" applyBorder="1" applyAlignment="1">
      <alignment horizontal="center"/>
    </xf>
    <xf numFmtId="1" fontId="1" fillId="9" borderId="2" xfId="0" applyNumberFormat="1" applyFont="1" applyFill="1" applyBorder="1" applyAlignment="1">
      <alignment horizontal="center"/>
    </xf>
    <xf numFmtId="16" fontId="0" fillId="0" borderId="2" xfId="0" applyNumberFormat="1" applyBorder="1" applyAlignment="1">
      <alignment horizontal="center"/>
    </xf>
    <xf numFmtId="0" fontId="0" fillId="4" borderId="2" xfId="0" applyFill="1" applyBorder="1" applyAlignment="1">
      <alignment horizontal="center"/>
    </xf>
    <xf numFmtId="9" fontId="0" fillId="4" borderId="2" xfId="0" applyNumberFormat="1" applyFill="1" applyBorder="1"/>
    <xf numFmtId="0" fontId="0" fillId="6" borderId="2" xfId="0" applyFill="1" applyBorder="1" applyAlignment="1">
      <alignment horizontal="center"/>
    </xf>
    <xf numFmtId="0" fontId="0" fillId="6" borderId="2" xfId="0" applyFill="1" applyBorder="1" applyAlignment="1">
      <alignment horizontal="right"/>
    </xf>
    <xf numFmtId="168" fontId="1" fillId="4" borderId="2" xfId="0" applyNumberFormat="1" applyFont="1" applyFill="1" applyBorder="1" applyAlignment="1">
      <alignment horizontal="center"/>
    </xf>
    <xf numFmtId="1" fontId="9" fillId="4" borderId="2" xfId="0" applyNumberFormat="1" applyFont="1" applyFill="1" applyBorder="1" applyAlignment="1">
      <alignment horizontal="center"/>
    </xf>
    <xf numFmtId="1" fontId="6" fillId="4" borderId="6" xfId="0" applyNumberFormat="1" applyFont="1" applyFill="1" applyBorder="1" applyAlignment="1">
      <alignment horizontal="center"/>
    </xf>
    <xf numFmtId="9" fontId="6" fillId="4" borderId="2" xfId="0" applyNumberFormat="1" applyFont="1" applyFill="1" applyBorder="1" applyAlignment="1">
      <alignment horizontal="center"/>
    </xf>
    <xf numFmtId="165" fontId="2" fillId="4" borderId="2" xfId="0" applyNumberFormat="1" applyFont="1" applyFill="1" applyBorder="1" applyAlignment="1">
      <alignment horizontal="center"/>
    </xf>
    <xf numFmtId="16" fontId="0" fillId="4" borderId="2" xfId="0" applyNumberFormat="1" applyFill="1" applyBorder="1" applyAlignment="1">
      <alignment horizontal="center"/>
    </xf>
    <xf numFmtId="3" fontId="1" fillId="4" borderId="2" xfId="0" applyNumberFormat="1" applyFont="1" applyFill="1" applyBorder="1" applyAlignment="1">
      <alignment horizontal="center"/>
    </xf>
    <xf numFmtId="16" fontId="0" fillId="0" borderId="2" xfId="0" applyNumberFormat="1" applyBorder="1"/>
    <xf numFmtId="1" fontId="1" fillId="3" borderId="2" xfId="0" applyNumberFormat="1" applyFont="1" applyFill="1" applyBorder="1" applyAlignment="1">
      <alignment horizontal="center"/>
    </xf>
    <xf numFmtId="0" fontId="0" fillId="9" borderId="0" xfId="0" applyFill="1"/>
    <xf numFmtId="169" fontId="0" fillId="0" borderId="2" xfId="0" applyNumberFormat="1" applyBorder="1" applyAlignment="1">
      <alignment horizontal="center"/>
    </xf>
    <xf numFmtId="1" fontId="1" fillId="2" borderId="2" xfId="0" applyNumberFormat="1" applyFont="1" applyFill="1" applyBorder="1" applyAlignment="1">
      <alignment horizontal="center"/>
    </xf>
    <xf numFmtId="168" fontId="0" fillId="0" borderId="0" xfId="0" applyNumberFormat="1"/>
    <xf numFmtId="9" fontId="0" fillId="2" borderId="2" xfId="0" applyNumberFormat="1" applyFill="1" applyBorder="1"/>
    <xf numFmtId="0" fontId="1" fillId="2" borderId="2" xfId="0" applyFont="1" applyFill="1" applyBorder="1" applyAlignment="1" applyProtection="1">
      <alignment horizontal="center"/>
      <protection locked="0"/>
    </xf>
    <xf numFmtId="164" fontId="1" fillId="2" borderId="2" xfId="0" applyNumberFormat="1" applyFont="1" applyFill="1" applyBorder="1" applyAlignment="1" applyProtection="1">
      <alignment horizontal="center" wrapText="1"/>
      <protection locked="0"/>
    </xf>
    <xf numFmtId="9" fontId="1" fillId="2" borderId="2" xfId="0" applyNumberFormat="1" applyFont="1" applyFill="1" applyBorder="1" applyAlignment="1" applyProtection="1">
      <alignment horizontal="center"/>
      <protection locked="0"/>
    </xf>
    <xf numFmtId="1" fontId="1" fillId="2" borderId="2" xfId="0" applyNumberFormat="1" applyFont="1" applyFill="1" applyBorder="1" applyAlignment="1" applyProtection="1">
      <alignment horizontal="center"/>
      <protection locked="0"/>
    </xf>
    <xf numFmtId="0" fontId="11" fillId="0" borderId="0" xfId="0" applyFont="1"/>
    <xf numFmtId="166" fontId="1" fillId="4" borderId="2" xfId="0" applyNumberFormat="1" applyFont="1" applyFill="1" applyBorder="1" applyAlignment="1">
      <alignment horizontal="center"/>
    </xf>
    <xf numFmtId="167" fontId="1" fillId="4" borderId="2" xfId="0" applyNumberFormat="1" applyFont="1" applyFill="1" applyBorder="1" applyAlignment="1">
      <alignment horizontal="center"/>
    </xf>
    <xf numFmtId="1" fontId="6" fillId="4" borderId="2" xfId="0" applyNumberFormat="1" applyFont="1" applyFill="1" applyBorder="1" applyAlignment="1">
      <alignment horizontal="center"/>
    </xf>
    <xf numFmtId="166" fontId="0" fillId="8" borderId="2" xfId="0" applyNumberFormat="1" applyFill="1" applyBorder="1" applyAlignment="1">
      <alignment horizontal="center"/>
    </xf>
    <xf numFmtId="167" fontId="0" fillId="8" borderId="2" xfId="0" applyNumberFormat="1" applyFill="1" applyBorder="1" applyAlignment="1">
      <alignment horizontal="center"/>
    </xf>
    <xf numFmtId="167" fontId="0" fillId="4" borderId="2" xfId="0" applyNumberFormat="1" applyFill="1" applyBorder="1" applyAlignment="1">
      <alignment horizontal="center"/>
    </xf>
    <xf numFmtId="1" fontId="0" fillId="8" borderId="2" xfId="0" applyNumberFormat="1" applyFill="1" applyBorder="1" applyAlignment="1">
      <alignment horizontal="center"/>
    </xf>
    <xf numFmtId="0" fontId="1" fillId="8" borderId="2" xfId="0" applyFont="1" applyFill="1" applyBorder="1" applyAlignment="1">
      <alignment horizontal="center"/>
    </xf>
    <xf numFmtId="0" fontId="0" fillId="8" borderId="2" xfId="0" applyFill="1" applyBorder="1" applyAlignment="1">
      <alignment horizontal="center"/>
    </xf>
    <xf numFmtId="0" fontId="1" fillId="7" borderId="2" xfId="0" applyFont="1" applyFill="1" applyBorder="1" applyAlignment="1">
      <alignment horizontal="center"/>
    </xf>
    <xf numFmtId="0" fontId="1" fillId="4" borderId="5"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0" fillId="6" borderId="2" xfId="0" applyFill="1" applyBorder="1" applyAlignment="1">
      <alignment horizontal="center"/>
    </xf>
    <xf numFmtId="0" fontId="1" fillId="2" borderId="5" xfId="0" applyFont="1" applyFill="1" applyBorder="1" applyAlignment="1">
      <alignment horizontal="center" wrapText="1"/>
    </xf>
    <xf numFmtId="0" fontId="1" fillId="2" borderId="7" xfId="0" applyFont="1" applyFill="1" applyBorder="1" applyAlignment="1">
      <alignment horizontal="center" wrapText="1"/>
    </xf>
    <xf numFmtId="0" fontId="1" fillId="2" borderId="8" xfId="0" applyFont="1" applyFill="1" applyBorder="1" applyAlignment="1">
      <alignment horizontal="center" wrapText="1"/>
    </xf>
    <xf numFmtId="0" fontId="1" fillId="0" borderId="1" xfId="0" applyFont="1" applyBorder="1" applyAlignment="1">
      <alignment horizont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0" fillId="0" borderId="2" xfId="0" applyBorder="1" applyAlignment="1">
      <alignment wrapText="1"/>
    </xf>
    <xf numFmtId="0" fontId="1" fillId="0" borderId="6" xfId="0" applyFont="1" applyBorder="1" applyAlignment="1">
      <alignment horizontal="center" vertical="center" wrapText="1"/>
    </xf>
    <xf numFmtId="0" fontId="1" fillId="0" borderId="3" xfId="0" applyFont="1" applyBorder="1" applyAlignment="1">
      <alignment horizontal="center" vertical="center" wrapText="1"/>
    </xf>
    <xf numFmtId="3" fontId="1" fillId="3" borderId="2" xfId="0" applyNumberFormat="1" applyFont="1" applyFill="1" applyBorder="1" applyAlignment="1">
      <alignment vertical="center"/>
    </xf>
    <xf numFmtId="0" fontId="1" fillId="3" borderId="2" xfId="0" applyFont="1" applyFill="1" applyBorder="1" applyAlignment="1">
      <alignment horizontal="center"/>
    </xf>
    <xf numFmtId="0" fontId="0" fillId="0" borderId="6" xfId="0" applyBorder="1" applyAlignment="1">
      <alignment horizontal="center" vertical="center" wrapText="1"/>
    </xf>
    <xf numFmtId="0" fontId="0" fillId="0" borderId="13" xfId="0" applyBorder="1" applyAlignment="1">
      <alignment horizontal="center" vertical="center" wrapText="1"/>
    </xf>
    <xf numFmtId="0" fontId="0" fillId="0" borderId="3" xfId="0" applyBorder="1" applyAlignment="1">
      <alignment horizontal="center" vertical="center" wrapText="1"/>
    </xf>
    <xf numFmtId="165" fontId="4" fillId="0" borderId="9" xfId="0" applyNumberFormat="1" applyFont="1" applyBorder="1" applyAlignment="1">
      <alignment horizontal="center" vertical="center"/>
    </xf>
    <xf numFmtId="165" fontId="4" fillId="0" borderId="11" xfId="0" applyNumberFormat="1" applyFont="1" applyBorder="1" applyAlignment="1">
      <alignment horizontal="center" vertical="center"/>
    </xf>
    <xf numFmtId="0" fontId="2" fillId="3"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solidFill>
                <a:latin typeface="+mn-lt"/>
                <a:ea typeface="+mn-ea"/>
                <a:cs typeface="+mn-cs"/>
              </a:defRPr>
            </a:pPr>
            <a:r>
              <a:rPr lang="en-US" sz="1800" b="1"/>
              <a:t>Expected effect of OA vaporizations </a:t>
            </a:r>
          </a:p>
          <a:p>
            <a:pPr marL="0" marR="0" lvl="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solidFill>
                <a:latin typeface="+mn-lt"/>
                <a:ea typeface="+mn-ea"/>
                <a:cs typeface="+mn-cs"/>
              </a:defRPr>
            </a:pPr>
            <a:r>
              <a:rPr lang="en-US" sz="1800" b="1"/>
              <a:t>on a strong double-deep colony</a:t>
            </a:r>
          </a:p>
        </c:rich>
      </c:tx>
      <c:layout>
        <c:manualLayout>
          <c:xMode val="edge"/>
          <c:yMode val="edge"/>
          <c:x val="0.32286765335752782"/>
          <c:y val="1.3102245285251592E-2"/>
        </c:manualLayout>
      </c:layout>
      <c:overlay val="0"/>
      <c:spPr>
        <a:noFill/>
        <a:ln>
          <a:noFill/>
        </a:ln>
        <a:effectLst/>
      </c:spPr>
    </c:title>
    <c:autoTitleDeleted val="0"/>
    <c:plotArea>
      <c:layout>
        <c:manualLayout>
          <c:layoutTarget val="inner"/>
          <c:xMode val="edge"/>
          <c:yMode val="edge"/>
          <c:x val="6.8488080190753101E-2"/>
          <c:y val="0.20561232695875417"/>
          <c:w val="0.87503925907822211"/>
          <c:h val="0.54252199638630116"/>
        </c:manualLayout>
      </c:layout>
      <c:barChart>
        <c:barDir val="col"/>
        <c:grouping val="clustered"/>
        <c:varyColors val="0"/>
        <c:ser>
          <c:idx val="0"/>
          <c:order val="3"/>
          <c:tx>
            <c:v>Expected 48-hr mite drop</c:v>
          </c:tx>
          <c:spPr>
            <a:ln>
              <a:solidFill>
                <a:schemeClr val="tx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'The model'!$J$54:$J$114</c:f>
              <c:numCache>
                <c:formatCode>0</c:formatCode>
                <c:ptCount val="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numCache>
            </c:numRef>
          </c:cat>
          <c:val>
            <c:numRef>
              <c:f>'The model'!$AG$54:$AG$114</c:f>
              <c:numCache>
                <c:formatCode>0</c:formatCode>
                <c:ptCount val="61"/>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numCache>
            </c:numRef>
          </c:val>
          <c:extLst>
            <c:ext xmlns:c16="http://schemas.microsoft.com/office/drawing/2014/chart" uri="{C3380CC4-5D6E-409C-BE32-E72D297353CC}">
              <c16:uniqueId val="{00000000-80C3-458D-94FE-FDD3FB525AE5}"/>
            </c:ext>
          </c:extLst>
        </c:ser>
        <c:dLbls>
          <c:showLegendKey val="0"/>
          <c:showVal val="0"/>
          <c:showCatName val="0"/>
          <c:showSerName val="0"/>
          <c:showPercent val="0"/>
          <c:showBubbleSize val="0"/>
        </c:dLbls>
        <c:gapWidth val="0"/>
        <c:overlap val="100"/>
        <c:axId val="62124496"/>
        <c:axId val="62124976"/>
        <c:extLst/>
      </c:barChart>
      <c:barChart>
        <c:barDir val="col"/>
        <c:grouping val="clustered"/>
        <c:varyColors val="0"/>
        <c:ser>
          <c:idx val="3"/>
          <c:order val="2"/>
          <c:tx>
            <c:strRef>
              <c:f>'The model'!$AF$41</c:f>
              <c:strCache>
                <c:ptCount val="1"/>
                <c:pt idx="0">
                  <c:v>Expected 24-hr mite drop count</c:v>
                </c:pt>
              </c:strCache>
            </c:strRef>
          </c:tx>
          <c:spPr>
            <a:noFill/>
            <a:ln w="28575">
              <a:noFill/>
            </a:ln>
          </c:spPr>
          <c:invertIfNegative val="0"/>
          <c:dLbls>
            <c:spPr>
              <a:noFill/>
              <a:ln>
                <a:noFill/>
              </a:ln>
              <a:effectLst/>
            </c:spPr>
            <c:txPr>
              <a:bodyPr wrap="square" lIns="38100" tIns="19050" rIns="38100" bIns="19050" anchor="ctr">
                <a:spAutoFit/>
              </a:bodyPr>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'The model'!$J$54:$J$114</c:f>
              <c:numCache>
                <c:formatCode>0</c:formatCode>
                <c:ptCount val="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numCache>
            </c:numRef>
          </c:cat>
          <c:val>
            <c:numRef>
              <c:f>'The model'!$AF$54:$AF$114</c:f>
              <c:numCache>
                <c:formatCode>0</c:formatCode>
                <c:ptCount val="61"/>
                <c:pt idx="0">
                  <c:v>48.678567811908266</c:v>
                </c:pt>
                <c:pt idx="2">
                  <c:v>51.133742998350051</c:v>
                </c:pt>
                <c:pt idx="4">
                  <c:v>53.137598793014938</c:v>
                </c:pt>
                <c:pt idx="6">
                  <c:v>55.146892211753681</c:v>
                </c:pt>
                <c:pt idx="8">
                  <c:v>57.169942929158971</c:v>
                </c:pt>
                <c:pt idx="10">
                  <c:v>59.214035955930264</c:v>
                </c:pt>
                <c:pt idx="12">
                  <c:v>61.285498343708042</c:v>
                </c:pt>
                <c:pt idx="14">
                  <c:v>62.848487934330457</c:v>
                </c:pt>
                <c:pt idx="16">
                  <c:v>64.679991814661193</c:v>
                </c:pt>
                <c:pt idx="18">
                  <c:v>66.673570357968771</c:v>
                </c:pt>
                <c:pt idx="20">
                  <c:v>68.799806622954804</c:v>
                </c:pt>
                <c:pt idx="22">
                  <c:v>71.039012083531745</c:v>
                </c:pt>
                <c:pt idx="24">
                  <c:v>73.37904257845527</c:v>
                </c:pt>
                <c:pt idx="26">
                  <c:v>75.777082118304975</c:v>
                </c:pt>
                <c:pt idx="28">
                  <c:v>78.179849870254841</c:v>
                </c:pt>
                <c:pt idx="30">
                  <c:v>80.652247080256558</c:v>
                </c:pt>
                <c:pt idx="32">
                  <c:v>83.24143644987808</c:v>
                </c:pt>
                <c:pt idx="34">
                  <c:v>86.001297585567443</c:v>
                </c:pt>
                <c:pt idx="36">
                  <c:v>89.02442224794018</c:v>
                </c:pt>
                <c:pt idx="38">
                  <c:v>92.582175218186933</c:v>
                </c:pt>
                <c:pt idx="40">
                  <c:v>95.965822205684077</c:v>
                </c:pt>
                <c:pt idx="42">
                  <c:v>100.81958644375655</c:v>
                </c:pt>
                <c:pt idx="44">
                  <c:v>107.08372965891793</c:v>
                </c:pt>
                <c:pt idx="46">
                  <c:v>112.36225825139486</c:v>
                </c:pt>
                <c:pt idx="48">
                  <c:v>115.69598758551538</c:v>
                </c:pt>
                <c:pt idx="50">
                  <c:v>119.08754818910434</c:v>
                </c:pt>
                <c:pt idx="52">
                  <c:v>125.98467011377147</c:v>
                </c:pt>
                <c:pt idx="54">
                  <c:v>104.80763276511374</c:v>
                </c:pt>
                <c:pt idx="56">
                  <c:v>105.19270670757604</c:v>
                </c:pt>
                <c:pt idx="58">
                  <c:v>105.65841820624308</c:v>
                </c:pt>
                <c:pt idx="60">
                  <c:v>106.18786969435973</c:v>
                </c:pt>
              </c:numCache>
            </c:numRef>
          </c:val>
          <c:extLst>
            <c:ext xmlns:c16="http://schemas.microsoft.com/office/drawing/2014/chart" uri="{C3380CC4-5D6E-409C-BE32-E72D297353CC}">
              <c16:uniqueId val="{00000001-80C3-458D-94FE-FDD3FB525AE5}"/>
            </c:ext>
          </c:extLst>
        </c:ser>
        <c:dLbls>
          <c:showLegendKey val="0"/>
          <c:showVal val="0"/>
          <c:showCatName val="0"/>
          <c:showSerName val="0"/>
          <c:showPercent val="0"/>
          <c:showBubbleSize val="0"/>
        </c:dLbls>
        <c:gapWidth val="0"/>
        <c:overlap val="100"/>
        <c:axId val="385048032"/>
        <c:axId val="385026432"/>
        <c:extLst/>
      </c:barChart>
      <c:lineChart>
        <c:grouping val="standard"/>
        <c:varyColors val="0"/>
        <c:ser>
          <c:idx val="1"/>
          <c:order val="0"/>
          <c:tx>
            <c:v>Total mite population</c:v>
          </c:tx>
          <c:spPr>
            <a:ln w="28575" cap="rnd">
              <a:solidFill>
                <a:srgbClr val="C00000"/>
              </a:solidFill>
              <a:round/>
            </a:ln>
            <a:effectLst/>
          </c:spPr>
          <c:marker>
            <c:symbol val="none"/>
          </c:marker>
          <c:dLbls>
            <c:dLbl>
              <c:idx val="0"/>
              <c:layout>
                <c:manualLayout>
                  <c:x val="-1.4652016060686278E-2"/>
                  <c:y val="-3.90006168699932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80C3-458D-94FE-FDD3FB525AE5}"/>
                </c:ext>
              </c:extLst>
            </c:dLbl>
            <c:dLbl>
              <c:idx val="1"/>
              <c:delete val="1"/>
              <c:extLst>
                <c:ext xmlns:c15="http://schemas.microsoft.com/office/drawing/2012/chart" uri="{CE6537A1-D6FC-4f65-9D91-7224C49458BB}"/>
                <c:ext xmlns:c16="http://schemas.microsoft.com/office/drawing/2014/chart" uri="{C3380CC4-5D6E-409C-BE32-E72D297353CC}">
                  <c16:uniqueId val="{00000048-80C3-458D-94FE-FDD3FB525AE5}"/>
                </c:ext>
              </c:extLst>
            </c:dLbl>
            <c:dLbl>
              <c:idx val="2"/>
              <c:delete val="1"/>
              <c:extLst>
                <c:ext xmlns:c15="http://schemas.microsoft.com/office/drawing/2012/chart" uri="{CE6537A1-D6FC-4f65-9D91-7224C49458BB}"/>
                <c:ext xmlns:c16="http://schemas.microsoft.com/office/drawing/2014/chart" uri="{C3380CC4-5D6E-409C-BE32-E72D297353CC}">
                  <c16:uniqueId val="{0000003B-80C3-458D-94FE-FDD3FB525AE5}"/>
                </c:ext>
              </c:extLst>
            </c:dLbl>
            <c:dLbl>
              <c:idx val="3"/>
              <c:layout>
                <c:manualLayout>
                  <c:x val="1.2210013383904999E-3"/>
                  <c:y val="-4.38756939787423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A-80C3-458D-94FE-FDD3FB525AE5}"/>
                </c:ext>
              </c:extLst>
            </c:dLbl>
            <c:dLbl>
              <c:idx val="4"/>
              <c:delete val="1"/>
              <c:extLst>
                <c:ext xmlns:c15="http://schemas.microsoft.com/office/drawing/2012/chart" uri="{CE6537A1-D6FC-4f65-9D91-7224C49458BB}"/>
                <c:ext xmlns:c16="http://schemas.microsoft.com/office/drawing/2014/chart" uri="{C3380CC4-5D6E-409C-BE32-E72D297353CC}">
                  <c16:uniqueId val="{00000049-80C3-458D-94FE-FDD3FB525AE5}"/>
                </c:ext>
              </c:extLst>
            </c:dLbl>
            <c:dLbl>
              <c:idx val="5"/>
              <c:delete val="1"/>
              <c:extLst>
                <c:ext xmlns:c15="http://schemas.microsoft.com/office/drawing/2012/chart" uri="{CE6537A1-D6FC-4f65-9D91-7224C49458BB}"/>
                <c:ext xmlns:c16="http://schemas.microsoft.com/office/drawing/2014/chart" uri="{C3380CC4-5D6E-409C-BE32-E72D297353CC}">
                  <c16:uniqueId val="{0000004C-80C3-458D-94FE-FDD3FB525AE5}"/>
                </c:ext>
              </c:extLst>
            </c:dLbl>
            <c:dLbl>
              <c:idx val="6"/>
              <c:delete val="1"/>
              <c:extLst>
                <c:ext xmlns:c15="http://schemas.microsoft.com/office/drawing/2012/chart" uri="{CE6537A1-D6FC-4f65-9D91-7224C49458BB}"/>
                <c:ext xmlns:c16="http://schemas.microsoft.com/office/drawing/2014/chart" uri="{C3380CC4-5D6E-409C-BE32-E72D297353CC}">
                  <c16:uniqueId val="{0000004B-80C3-458D-94FE-FDD3FB525AE5}"/>
                </c:ext>
              </c:extLst>
            </c:dLbl>
            <c:dLbl>
              <c:idx val="7"/>
              <c:delete val="1"/>
              <c:extLst>
                <c:ext xmlns:c15="http://schemas.microsoft.com/office/drawing/2012/chart" uri="{CE6537A1-D6FC-4f65-9D91-7224C49458BB}"/>
                <c:ext xmlns:c16="http://schemas.microsoft.com/office/drawing/2014/chart" uri="{C3380CC4-5D6E-409C-BE32-E72D297353CC}">
                  <c16:uniqueId val="{0000004D-80C3-458D-94FE-FDD3FB525AE5}"/>
                </c:ext>
              </c:extLst>
            </c:dLbl>
            <c:dLbl>
              <c:idx val="8"/>
              <c:layout>
                <c:manualLayout>
                  <c:x val="0"/>
                  <c:y val="-3.65630783156187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80C3-458D-94FE-FDD3FB525AE5}"/>
                </c:ext>
              </c:extLst>
            </c:dLbl>
            <c:dLbl>
              <c:idx val="9"/>
              <c:delete val="1"/>
              <c:extLst>
                <c:ext xmlns:c15="http://schemas.microsoft.com/office/drawing/2012/chart" uri="{CE6537A1-D6FC-4f65-9D91-7224C49458BB}"/>
                <c:ext xmlns:c16="http://schemas.microsoft.com/office/drawing/2014/chart" uri="{C3380CC4-5D6E-409C-BE32-E72D297353CC}">
                  <c16:uniqueId val="{0000004E-80C3-458D-94FE-FDD3FB525AE5}"/>
                </c:ext>
              </c:extLst>
            </c:dLbl>
            <c:dLbl>
              <c:idx val="10"/>
              <c:delete val="1"/>
              <c:extLst>
                <c:ext xmlns:c15="http://schemas.microsoft.com/office/drawing/2012/chart" uri="{CE6537A1-D6FC-4f65-9D91-7224C49458BB}"/>
                <c:ext xmlns:c16="http://schemas.microsoft.com/office/drawing/2014/chart" uri="{C3380CC4-5D6E-409C-BE32-E72D297353CC}">
                  <c16:uniqueId val="{00000050-80C3-458D-94FE-FDD3FB525AE5}"/>
                </c:ext>
              </c:extLst>
            </c:dLbl>
            <c:dLbl>
              <c:idx val="11"/>
              <c:delete val="1"/>
              <c:extLst>
                <c:ext xmlns:c15="http://schemas.microsoft.com/office/drawing/2012/chart" uri="{CE6537A1-D6FC-4f65-9D91-7224C49458BB}"/>
                <c:ext xmlns:c16="http://schemas.microsoft.com/office/drawing/2014/chart" uri="{C3380CC4-5D6E-409C-BE32-E72D297353CC}">
                  <c16:uniqueId val="{0000004F-80C3-458D-94FE-FDD3FB525AE5}"/>
                </c:ext>
              </c:extLst>
            </c:dLbl>
            <c:dLbl>
              <c:idx val="12"/>
              <c:delete val="1"/>
              <c:extLst>
                <c:ext xmlns:c15="http://schemas.microsoft.com/office/drawing/2012/chart" uri="{CE6537A1-D6FC-4f65-9D91-7224C49458BB}"/>
                <c:ext xmlns:c16="http://schemas.microsoft.com/office/drawing/2014/chart" uri="{C3380CC4-5D6E-409C-BE32-E72D297353CC}">
                  <c16:uniqueId val="{00000051-80C3-458D-94FE-FDD3FB525AE5}"/>
                </c:ext>
              </c:extLst>
            </c:dLbl>
            <c:dLbl>
              <c:idx val="13"/>
              <c:layout>
                <c:manualLayout>
                  <c:x val="-1.2210013383905222E-3"/>
                  <c:y val="-3.65630783156187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80C3-458D-94FE-FDD3FB525AE5}"/>
                </c:ext>
              </c:extLst>
            </c:dLbl>
            <c:dLbl>
              <c:idx val="14"/>
              <c:delete val="1"/>
              <c:extLst>
                <c:ext xmlns:c15="http://schemas.microsoft.com/office/drawing/2012/chart" uri="{CE6537A1-D6FC-4f65-9D91-7224C49458BB}"/>
                <c:ext xmlns:c16="http://schemas.microsoft.com/office/drawing/2014/chart" uri="{C3380CC4-5D6E-409C-BE32-E72D297353CC}">
                  <c16:uniqueId val="{00000053-80C3-458D-94FE-FDD3FB525AE5}"/>
                </c:ext>
              </c:extLst>
            </c:dLbl>
            <c:dLbl>
              <c:idx val="15"/>
              <c:delete val="1"/>
              <c:extLst>
                <c:ext xmlns:c15="http://schemas.microsoft.com/office/drawing/2012/chart" uri="{CE6537A1-D6FC-4f65-9D91-7224C49458BB}"/>
                <c:ext xmlns:c16="http://schemas.microsoft.com/office/drawing/2014/chart" uri="{C3380CC4-5D6E-409C-BE32-E72D297353CC}">
                  <c16:uniqueId val="{00000052-80C3-458D-94FE-FDD3FB525AE5}"/>
                </c:ext>
              </c:extLst>
            </c:dLbl>
            <c:dLbl>
              <c:idx val="16"/>
              <c:delete val="1"/>
              <c:extLst>
                <c:ext xmlns:c15="http://schemas.microsoft.com/office/drawing/2012/chart" uri="{CE6537A1-D6FC-4f65-9D91-7224C49458BB}"/>
                <c:ext xmlns:c16="http://schemas.microsoft.com/office/drawing/2014/chart" uri="{C3380CC4-5D6E-409C-BE32-E72D297353CC}">
                  <c16:uniqueId val="{00000056-80C3-458D-94FE-FDD3FB525AE5}"/>
                </c:ext>
              </c:extLst>
            </c:dLbl>
            <c:dLbl>
              <c:idx val="17"/>
              <c:delete val="1"/>
              <c:extLst>
                <c:ext xmlns:c15="http://schemas.microsoft.com/office/drawing/2012/chart" uri="{CE6537A1-D6FC-4f65-9D91-7224C49458BB}"/>
                <c:ext xmlns:c16="http://schemas.microsoft.com/office/drawing/2014/chart" uri="{C3380CC4-5D6E-409C-BE32-E72D297353CC}">
                  <c16:uniqueId val="{00000054-80C3-458D-94FE-FDD3FB525AE5}"/>
                </c:ext>
              </c:extLst>
            </c:dLbl>
            <c:dLbl>
              <c:idx val="18"/>
              <c:delete val="1"/>
              <c:extLst>
                <c:ext xmlns:c15="http://schemas.microsoft.com/office/drawing/2012/chart" uri="{CE6537A1-D6FC-4f65-9D91-7224C49458BB}"/>
                <c:ext xmlns:c16="http://schemas.microsoft.com/office/drawing/2014/chart" uri="{C3380CC4-5D6E-409C-BE32-E72D297353CC}">
                  <c16:uniqueId val="{00000057-80C3-458D-94FE-FDD3FB525AE5}"/>
                </c:ext>
              </c:extLst>
            </c:dLbl>
            <c:dLbl>
              <c:idx val="19"/>
              <c:delete val="1"/>
              <c:extLst>
                <c:ext xmlns:c15="http://schemas.microsoft.com/office/drawing/2012/chart" uri="{CE6537A1-D6FC-4f65-9D91-7224C49458BB}"/>
                <c:ext xmlns:c16="http://schemas.microsoft.com/office/drawing/2014/chart" uri="{C3380CC4-5D6E-409C-BE32-E72D297353CC}">
                  <c16:uniqueId val="{00000055-80C3-458D-94FE-FDD3FB525AE5}"/>
                </c:ext>
              </c:extLst>
            </c:dLbl>
            <c:dLbl>
              <c:idx val="20"/>
              <c:layout>
                <c:manualLayout>
                  <c:x val="-2.442002676781089E-3"/>
                  <c:y val="-4.14381554243678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80C3-458D-94FE-FDD3FB525AE5}"/>
                </c:ext>
              </c:extLst>
            </c:dLbl>
            <c:dLbl>
              <c:idx val="21"/>
              <c:delete val="1"/>
              <c:extLst>
                <c:ext xmlns:c15="http://schemas.microsoft.com/office/drawing/2012/chart" uri="{CE6537A1-D6FC-4f65-9D91-7224C49458BB}"/>
                <c:ext xmlns:c16="http://schemas.microsoft.com/office/drawing/2014/chart" uri="{C3380CC4-5D6E-409C-BE32-E72D297353CC}">
                  <c16:uniqueId val="{00000058-80C3-458D-94FE-FDD3FB525AE5}"/>
                </c:ext>
              </c:extLst>
            </c:dLbl>
            <c:dLbl>
              <c:idx val="22"/>
              <c:delete val="1"/>
              <c:extLst>
                <c:ext xmlns:c15="http://schemas.microsoft.com/office/drawing/2012/chart" uri="{CE6537A1-D6FC-4f65-9D91-7224C49458BB}"/>
                <c:ext xmlns:c16="http://schemas.microsoft.com/office/drawing/2014/chart" uri="{C3380CC4-5D6E-409C-BE32-E72D297353CC}">
                  <c16:uniqueId val="{00000059-80C3-458D-94FE-FDD3FB525AE5}"/>
                </c:ext>
              </c:extLst>
            </c:dLbl>
            <c:dLbl>
              <c:idx val="23"/>
              <c:delete val="1"/>
              <c:extLst>
                <c:ext xmlns:c15="http://schemas.microsoft.com/office/drawing/2012/chart" uri="{CE6537A1-D6FC-4f65-9D91-7224C49458BB}"/>
                <c:ext xmlns:c16="http://schemas.microsoft.com/office/drawing/2014/chart" uri="{C3380CC4-5D6E-409C-BE32-E72D297353CC}">
                  <c16:uniqueId val="{0000005A-80C3-458D-94FE-FDD3FB525AE5}"/>
                </c:ext>
              </c:extLst>
            </c:dLbl>
            <c:dLbl>
              <c:idx val="24"/>
              <c:delete val="1"/>
              <c:extLst>
                <c:ext xmlns:c15="http://schemas.microsoft.com/office/drawing/2012/chart" uri="{CE6537A1-D6FC-4f65-9D91-7224C49458BB}"/>
                <c:ext xmlns:c16="http://schemas.microsoft.com/office/drawing/2014/chart" uri="{C3380CC4-5D6E-409C-BE32-E72D297353CC}">
                  <c16:uniqueId val="{0000005C-80C3-458D-94FE-FDD3FB525AE5}"/>
                </c:ext>
              </c:extLst>
            </c:dLbl>
            <c:dLbl>
              <c:idx val="25"/>
              <c:delete val="1"/>
              <c:extLst>
                <c:ext xmlns:c15="http://schemas.microsoft.com/office/drawing/2012/chart" uri="{CE6537A1-D6FC-4f65-9D91-7224C49458BB}"/>
                <c:ext xmlns:c16="http://schemas.microsoft.com/office/drawing/2014/chart" uri="{C3380CC4-5D6E-409C-BE32-E72D297353CC}">
                  <c16:uniqueId val="{0000005B-80C3-458D-94FE-FDD3FB525AE5}"/>
                </c:ext>
              </c:extLst>
            </c:dLbl>
            <c:dLbl>
              <c:idx val="26"/>
              <c:delete val="1"/>
              <c:extLst>
                <c:ext xmlns:c15="http://schemas.microsoft.com/office/drawing/2012/chart" uri="{CE6537A1-D6FC-4f65-9D91-7224C49458BB}"/>
                <c:ext xmlns:c16="http://schemas.microsoft.com/office/drawing/2014/chart" uri="{C3380CC4-5D6E-409C-BE32-E72D297353CC}">
                  <c16:uniqueId val="{0000005D-80C3-458D-94FE-FDD3FB525AE5}"/>
                </c:ext>
              </c:extLst>
            </c:dLbl>
            <c:dLbl>
              <c:idx val="27"/>
              <c:layout>
                <c:manualLayout>
                  <c:x val="2.442002676780955E-3"/>
                  <c:y val="-4.38756939787423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80C3-458D-94FE-FDD3FB525AE5}"/>
                </c:ext>
              </c:extLst>
            </c:dLbl>
            <c:dLbl>
              <c:idx val="28"/>
              <c:delete val="1"/>
              <c:extLst>
                <c:ext xmlns:c15="http://schemas.microsoft.com/office/drawing/2012/chart" uri="{CE6537A1-D6FC-4f65-9D91-7224C49458BB}"/>
                <c:ext xmlns:c16="http://schemas.microsoft.com/office/drawing/2014/chart" uri="{C3380CC4-5D6E-409C-BE32-E72D297353CC}">
                  <c16:uniqueId val="{0000005E-80C3-458D-94FE-FDD3FB525AE5}"/>
                </c:ext>
              </c:extLst>
            </c:dLbl>
            <c:dLbl>
              <c:idx val="29"/>
              <c:delete val="1"/>
              <c:extLst>
                <c:ext xmlns:c15="http://schemas.microsoft.com/office/drawing/2012/chart" uri="{CE6537A1-D6FC-4f65-9D91-7224C49458BB}"/>
                <c:ext xmlns:c16="http://schemas.microsoft.com/office/drawing/2014/chart" uri="{C3380CC4-5D6E-409C-BE32-E72D297353CC}">
                  <c16:uniqueId val="{00000061-80C3-458D-94FE-FDD3FB525AE5}"/>
                </c:ext>
              </c:extLst>
            </c:dLbl>
            <c:dLbl>
              <c:idx val="30"/>
              <c:delete val="1"/>
              <c:extLst>
                <c:ext xmlns:c15="http://schemas.microsoft.com/office/drawing/2012/chart" uri="{CE6537A1-D6FC-4f65-9D91-7224C49458BB}"/>
                <c:ext xmlns:c16="http://schemas.microsoft.com/office/drawing/2014/chart" uri="{C3380CC4-5D6E-409C-BE32-E72D297353CC}">
                  <c16:uniqueId val="{0000005F-80C3-458D-94FE-FDD3FB525AE5}"/>
                </c:ext>
              </c:extLst>
            </c:dLbl>
            <c:dLbl>
              <c:idx val="31"/>
              <c:layout>
                <c:manualLayout>
                  <c:x val="8.5470093687335658E-3"/>
                  <c:y val="-4.9969540364678794E-2"/>
                </c:manualLayout>
              </c:layout>
              <c:spPr>
                <a:noFill/>
                <a:ln>
                  <a:noFill/>
                </a:ln>
                <a:effectLst/>
              </c:spPr>
              <c:txPr>
                <a:bodyPr wrap="square" lIns="38100" tIns="19050" rIns="38100" bIns="19050" anchor="ctr">
                  <a:noAutofit/>
                </a:bodyPr>
                <a:lstStyle/>
                <a:p>
                  <a:pPr>
                    <a:defRPr b="1">
                      <a:solidFill>
                        <a:srgbClr val="C00000"/>
                      </a:solidFill>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3.8107451771168199E-2"/>
                      <c:h val="4.9250562457223125E-2"/>
                    </c:manualLayout>
                  </c15:layout>
                </c:ext>
                <c:ext xmlns:c16="http://schemas.microsoft.com/office/drawing/2014/chart" uri="{C3380CC4-5D6E-409C-BE32-E72D297353CC}">
                  <c16:uniqueId val="{00000060-80C3-458D-94FE-FDD3FB525AE5}"/>
                </c:ext>
              </c:extLst>
            </c:dLbl>
            <c:dLbl>
              <c:idx val="32"/>
              <c:delete val="1"/>
              <c:extLst>
                <c:ext xmlns:c15="http://schemas.microsoft.com/office/drawing/2012/chart" uri="{CE6537A1-D6FC-4f65-9D91-7224C49458BB}"/>
                <c:ext xmlns:c16="http://schemas.microsoft.com/office/drawing/2014/chart" uri="{C3380CC4-5D6E-409C-BE32-E72D297353CC}">
                  <c16:uniqueId val="{00000064-80C3-458D-94FE-FDD3FB525AE5}"/>
                </c:ext>
              </c:extLst>
            </c:dLbl>
            <c:dLbl>
              <c:idx val="33"/>
              <c:delete val="1"/>
              <c:extLst>
                <c:ext xmlns:c15="http://schemas.microsoft.com/office/drawing/2012/chart" uri="{CE6537A1-D6FC-4f65-9D91-7224C49458BB}"/>
                <c:ext xmlns:c16="http://schemas.microsoft.com/office/drawing/2014/chart" uri="{C3380CC4-5D6E-409C-BE32-E72D297353CC}">
                  <c16:uniqueId val="{00000063-80C3-458D-94FE-FDD3FB525AE5}"/>
                </c:ext>
              </c:extLst>
            </c:dLbl>
            <c:dLbl>
              <c:idx val="34"/>
              <c:delete val="1"/>
              <c:extLst>
                <c:ext xmlns:c15="http://schemas.microsoft.com/office/drawing/2012/chart" uri="{CE6537A1-D6FC-4f65-9D91-7224C49458BB}"/>
                <c:ext xmlns:c16="http://schemas.microsoft.com/office/drawing/2014/chart" uri="{C3380CC4-5D6E-409C-BE32-E72D297353CC}">
                  <c16:uniqueId val="{00000040-80C3-458D-94FE-FDD3FB525AE5}"/>
                </c:ext>
              </c:extLst>
            </c:dLbl>
            <c:dLbl>
              <c:idx val="35"/>
              <c:layout>
                <c:manualLayout>
                  <c:x val="2.4420026767810444E-3"/>
                  <c:y val="-5.36258481962406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2-80C3-458D-94FE-FDD3FB525AE5}"/>
                </c:ext>
              </c:extLst>
            </c:dLbl>
            <c:dLbl>
              <c:idx val="36"/>
              <c:delete val="1"/>
              <c:extLst>
                <c:ext xmlns:c15="http://schemas.microsoft.com/office/drawing/2012/chart" uri="{CE6537A1-D6FC-4f65-9D91-7224C49458BB}"/>
                <c:ext xmlns:c16="http://schemas.microsoft.com/office/drawing/2014/chart" uri="{C3380CC4-5D6E-409C-BE32-E72D297353CC}">
                  <c16:uniqueId val="{00000066-80C3-458D-94FE-FDD3FB525AE5}"/>
                </c:ext>
              </c:extLst>
            </c:dLbl>
            <c:dLbl>
              <c:idx val="37"/>
              <c:delete val="1"/>
              <c:extLst>
                <c:ext xmlns:c15="http://schemas.microsoft.com/office/drawing/2012/chart" uri="{CE6537A1-D6FC-4f65-9D91-7224C49458BB}"/>
                <c:ext xmlns:c16="http://schemas.microsoft.com/office/drawing/2014/chart" uri="{C3380CC4-5D6E-409C-BE32-E72D297353CC}">
                  <c16:uniqueId val="{00000065-80C3-458D-94FE-FDD3FB525AE5}"/>
                </c:ext>
              </c:extLst>
            </c:dLbl>
            <c:dLbl>
              <c:idx val="38"/>
              <c:delete val="1"/>
              <c:extLst>
                <c:ext xmlns:c15="http://schemas.microsoft.com/office/drawing/2012/chart" uri="{CE6537A1-D6FC-4f65-9D91-7224C49458BB}"/>
                <c:ext xmlns:c16="http://schemas.microsoft.com/office/drawing/2014/chart" uri="{C3380CC4-5D6E-409C-BE32-E72D297353CC}">
                  <c16:uniqueId val="{00000067-80C3-458D-94FE-FDD3FB525AE5}"/>
                </c:ext>
              </c:extLst>
            </c:dLbl>
            <c:dLbl>
              <c:idx val="39"/>
              <c:delete val="1"/>
              <c:extLst>
                <c:ext xmlns:c15="http://schemas.microsoft.com/office/drawing/2012/chart" uri="{CE6537A1-D6FC-4f65-9D91-7224C49458BB}"/>
                <c:ext xmlns:c16="http://schemas.microsoft.com/office/drawing/2014/chart" uri="{C3380CC4-5D6E-409C-BE32-E72D297353CC}">
                  <c16:uniqueId val="{00000068-80C3-458D-94FE-FDD3FB525AE5}"/>
                </c:ext>
              </c:extLst>
            </c:dLbl>
            <c:dLbl>
              <c:idx val="40"/>
              <c:layout>
                <c:manualLayout>
                  <c:x val="0"/>
                  <c:y val="-5.85009253049899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80C3-458D-94FE-FDD3FB525AE5}"/>
                </c:ext>
              </c:extLst>
            </c:dLbl>
            <c:dLbl>
              <c:idx val="41"/>
              <c:delete val="1"/>
              <c:extLst>
                <c:ext xmlns:c15="http://schemas.microsoft.com/office/drawing/2012/chart" uri="{CE6537A1-D6FC-4f65-9D91-7224C49458BB}"/>
                <c:ext xmlns:c16="http://schemas.microsoft.com/office/drawing/2014/chart" uri="{C3380CC4-5D6E-409C-BE32-E72D297353CC}">
                  <c16:uniqueId val="{00000069-80C3-458D-94FE-FDD3FB525AE5}"/>
                </c:ext>
              </c:extLst>
            </c:dLbl>
            <c:dLbl>
              <c:idx val="42"/>
              <c:delete val="1"/>
              <c:extLst>
                <c:ext xmlns:c15="http://schemas.microsoft.com/office/drawing/2012/chart" uri="{CE6537A1-D6FC-4f65-9D91-7224C49458BB}"/>
                <c:ext xmlns:c16="http://schemas.microsoft.com/office/drawing/2014/chart" uri="{C3380CC4-5D6E-409C-BE32-E72D297353CC}">
                  <c16:uniqueId val="{0000006A-80C3-458D-94FE-FDD3FB525AE5}"/>
                </c:ext>
              </c:extLst>
            </c:dLbl>
            <c:dLbl>
              <c:idx val="43"/>
              <c:delete val="1"/>
              <c:extLst>
                <c:ext xmlns:c15="http://schemas.microsoft.com/office/drawing/2012/chart" uri="{CE6537A1-D6FC-4f65-9D91-7224C49458BB}"/>
                <c:ext xmlns:c16="http://schemas.microsoft.com/office/drawing/2014/chart" uri="{C3380CC4-5D6E-409C-BE32-E72D297353CC}">
                  <c16:uniqueId val="{0000006B-80C3-458D-94FE-FDD3FB525AE5}"/>
                </c:ext>
              </c:extLst>
            </c:dLbl>
            <c:dLbl>
              <c:idx val="44"/>
              <c:delete val="1"/>
              <c:extLst>
                <c:ext xmlns:c15="http://schemas.microsoft.com/office/drawing/2012/chart" uri="{CE6537A1-D6FC-4f65-9D91-7224C49458BB}"/>
                <c:ext xmlns:c16="http://schemas.microsoft.com/office/drawing/2014/chart" uri="{C3380CC4-5D6E-409C-BE32-E72D297353CC}">
                  <c16:uniqueId val="{0000006D-80C3-458D-94FE-FDD3FB525AE5}"/>
                </c:ext>
              </c:extLst>
            </c:dLbl>
            <c:dLbl>
              <c:idx val="45"/>
              <c:delete val="1"/>
              <c:extLst>
                <c:ext xmlns:c15="http://schemas.microsoft.com/office/drawing/2012/chart" uri="{CE6537A1-D6FC-4f65-9D91-7224C49458BB}"/>
                <c:ext xmlns:c16="http://schemas.microsoft.com/office/drawing/2014/chart" uri="{C3380CC4-5D6E-409C-BE32-E72D297353CC}">
                  <c16:uniqueId val="{0000006C-80C3-458D-94FE-FDD3FB525AE5}"/>
                </c:ext>
              </c:extLst>
            </c:dLbl>
            <c:dLbl>
              <c:idx val="46"/>
              <c:layout>
                <c:manualLayout>
                  <c:x val="-8.9539063785732778E-17"/>
                  <c:y val="-6.09384638593644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80C3-458D-94FE-FDD3FB525AE5}"/>
                </c:ext>
              </c:extLst>
            </c:dLbl>
            <c:dLbl>
              <c:idx val="47"/>
              <c:delete val="1"/>
              <c:extLst>
                <c:ext xmlns:c15="http://schemas.microsoft.com/office/drawing/2012/chart" uri="{CE6537A1-D6FC-4f65-9D91-7224C49458BB}"/>
                <c:ext xmlns:c16="http://schemas.microsoft.com/office/drawing/2014/chart" uri="{C3380CC4-5D6E-409C-BE32-E72D297353CC}">
                  <c16:uniqueId val="{0000006E-80C3-458D-94FE-FDD3FB525AE5}"/>
                </c:ext>
              </c:extLst>
            </c:dLbl>
            <c:dLbl>
              <c:idx val="48"/>
              <c:delete val="1"/>
              <c:extLst>
                <c:ext xmlns:c15="http://schemas.microsoft.com/office/drawing/2012/chart" uri="{CE6537A1-D6FC-4f65-9D91-7224C49458BB}"/>
                <c:ext xmlns:c16="http://schemas.microsoft.com/office/drawing/2014/chart" uri="{C3380CC4-5D6E-409C-BE32-E72D297353CC}">
                  <c16:uniqueId val="{0000006F-80C3-458D-94FE-FDD3FB525AE5}"/>
                </c:ext>
              </c:extLst>
            </c:dLbl>
            <c:dLbl>
              <c:idx val="49"/>
              <c:delete val="1"/>
              <c:extLst>
                <c:ext xmlns:c15="http://schemas.microsoft.com/office/drawing/2012/chart" uri="{CE6537A1-D6FC-4f65-9D91-7224C49458BB}"/>
                <c:ext xmlns:c16="http://schemas.microsoft.com/office/drawing/2014/chart" uri="{C3380CC4-5D6E-409C-BE32-E72D297353CC}">
                  <c16:uniqueId val="{00000071-80C3-458D-94FE-FDD3FB525AE5}"/>
                </c:ext>
              </c:extLst>
            </c:dLbl>
            <c:dLbl>
              <c:idx val="50"/>
              <c:delete val="1"/>
              <c:extLst>
                <c:ext xmlns:c15="http://schemas.microsoft.com/office/drawing/2012/chart" uri="{CE6537A1-D6FC-4f65-9D91-7224C49458BB}"/>
                <c:ext xmlns:c16="http://schemas.microsoft.com/office/drawing/2014/chart" uri="{C3380CC4-5D6E-409C-BE32-E72D297353CC}">
                  <c16:uniqueId val="{00000070-80C3-458D-94FE-FDD3FB525AE5}"/>
                </c:ext>
              </c:extLst>
            </c:dLbl>
            <c:dLbl>
              <c:idx val="51"/>
              <c:layout>
                <c:manualLayout>
                  <c:x val="0"/>
                  <c:y val="-7.31261566312372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7-80C3-458D-94FE-FDD3FB525AE5}"/>
                </c:ext>
              </c:extLst>
            </c:dLbl>
            <c:dLbl>
              <c:idx val="52"/>
              <c:delete val="1"/>
              <c:extLst>
                <c:ext xmlns:c15="http://schemas.microsoft.com/office/drawing/2012/chart" uri="{CE6537A1-D6FC-4f65-9D91-7224C49458BB}"/>
                <c:ext xmlns:c16="http://schemas.microsoft.com/office/drawing/2014/chart" uri="{C3380CC4-5D6E-409C-BE32-E72D297353CC}">
                  <c16:uniqueId val="{00000072-80C3-458D-94FE-FDD3FB525AE5}"/>
                </c:ext>
              </c:extLst>
            </c:dLbl>
            <c:dLbl>
              <c:idx val="53"/>
              <c:delete val="1"/>
              <c:extLst>
                <c:ext xmlns:c15="http://schemas.microsoft.com/office/drawing/2012/chart" uri="{CE6537A1-D6FC-4f65-9D91-7224C49458BB}"/>
                <c:ext xmlns:c16="http://schemas.microsoft.com/office/drawing/2014/chart" uri="{C3380CC4-5D6E-409C-BE32-E72D297353CC}">
                  <c16:uniqueId val="{00000073-80C3-458D-94FE-FDD3FB525AE5}"/>
                </c:ext>
              </c:extLst>
            </c:dLbl>
            <c:dLbl>
              <c:idx val="54"/>
              <c:delete val="1"/>
              <c:extLst>
                <c:ext xmlns:c15="http://schemas.microsoft.com/office/drawing/2012/chart" uri="{CE6537A1-D6FC-4f65-9D91-7224C49458BB}"/>
                <c:ext xmlns:c16="http://schemas.microsoft.com/office/drawing/2014/chart" uri="{C3380CC4-5D6E-409C-BE32-E72D297353CC}">
                  <c16:uniqueId val="{00000045-80C3-458D-94FE-FDD3FB525AE5}"/>
                </c:ext>
              </c:extLst>
            </c:dLbl>
            <c:dLbl>
              <c:idx val="55"/>
              <c:layout>
                <c:manualLayout>
                  <c:x val="0"/>
                  <c:y val="-6.09384638593644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80C3-458D-94FE-FDD3FB525AE5}"/>
                </c:ext>
              </c:extLst>
            </c:dLbl>
            <c:dLbl>
              <c:idx val="56"/>
              <c:delete val="1"/>
              <c:extLst>
                <c:ext xmlns:c15="http://schemas.microsoft.com/office/drawing/2012/chart" uri="{CE6537A1-D6FC-4f65-9D91-7224C49458BB}"/>
                <c:ext xmlns:c16="http://schemas.microsoft.com/office/drawing/2014/chart" uri="{C3380CC4-5D6E-409C-BE32-E72D297353CC}">
                  <c16:uniqueId val="{00000074-80C3-458D-94FE-FDD3FB525AE5}"/>
                </c:ext>
              </c:extLst>
            </c:dLbl>
            <c:dLbl>
              <c:idx val="57"/>
              <c:delete val="1"/>
              <c:extLst>
                <c:ext xmlns:c15="http://schemas.microsoft.com/office/drawing/2012/chart" uri="{CE6537A1-D6FC-4f65-9D91-7224C49458BB}"/>
                <c:ext xmlns:c16="http://schemas.microsoft.com/office/drawing/2014/chart" uri="{C3380CC4-5D6E-409C-BE32-E72D297353CC}">
                  <c16:uniqueId val="{00000076-80C3-458D-94FE-FDD3FB525AE5}"/>
                </c:ext>
              </c:extLst>
            </c:dLbl>
            <c:dLbl>
              <c:idx val="58"/>
              <c:delete val="1"/>
              <c:extLst>
                <c:ext xmlns:c15="http://schemas.microsoft.com/office/drawing/2012/chart" uri="{CE6537A1-D6FC-4f65-9D91-7224C49458BB}"/>
                <c:ext xmlns:c16="http://schemas.microsoft.com/office/drawing/2014/chart" uri="{C3380CC4-5D6E-409C-BE32-E72D297353CC}">
                  <c16:uniqueId val="{00000075-80C3-458D-94FE-FDD3FB525AE5}"/>
                </c:ext>
              </c:extLst>
            </c:dLbl>
            <c:dLbl>
              <c:idx val="59"/>
              <c:layout>
                <c:manualLayout>
                  <c:x val="1.2210013383903431E-3"/>
                  <c:y val="-9.99390807293576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80C3-458D-94FE-FDD3FB525AE5}"/>
                </c:ext>
              </c:extLst>
            </c:dLbl>
            <c:dLbl>
              <c:idx val="60"/>
              <c:delete val="1"/>
              <c:extLst>
                <c:ext xmlns:c15="http://schemas.microsoft.com/office/drawing/2012/chart" uri="{CE6537A1-D6FC-4f65-9D91-7224C49458BB}"/>
                <c:ext xmlns:c16="http://schemas.microsoft.com/office/drawing/2014/chart" uri="{C3380CC4-5D6E-409C-BE32-E72D297353CC}">
                  <c16:uniqueId val="{00000042-80C3-458D-94FE-FDD3FB525AE5}"/>
                </c:ext>
              </c:extLst>
            </c:dLbl>
            <c:spPr>
              <a:noFill/>
              <a:ln>
                <a:noFill/>
              </a:ln>
              <a:effectLst/>
            </c:spPr>
            <c:txPr>
              <a:bodyPr wrap="square" lIns="38100" tIns="19050" rIns="38100" bIns="19050" anchor="ctr">
                <a:spAutoFit/>
              </a:bodyPr>
              <a:lstStyle/>
              <a:p>
                <a:pPr>
                  <a:defRPr b="1">
                    <a:solidFill>
                      <a:srgbClr val="C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cat>
            <c:numRef>
              <c:f>'The model'!$BG$54:$BG$114</c:f>
              <c:numCache>
                <c:formatCode>[$-409]d\-mmm;@</c:formatCode>
                <c:ptCount val="61"/>
                <c:pt idx="0">
                  <c:v>46280</c:v>
                </c:pt>
                <c:pt idx="1">
                  <c:v>46281</c:v>
                </c:pt>
                <c:pt idx="2">
                  <c:v>46282</c:v>
                </c:pt>
                <c:pt idx="3">
                  <c:v>46283</c:v>
                </c:pt>
                <c:pt idx="4">
                  <c:v>46284</c:v>
                </c:pt>
                <c:pt idx="5">
                  <c:v>46285</c:v>
                </c:pt>
                <c:pt idx="6">
                  <c:v>46286</c:v>
                </c:pt>
                <c:pt idx="7">
                  <c:v>46287</c:v>
                </c:pt>
                <c:pt idx="8">
                  <c:v>46288</c:v>
                </c:pt>
                <c:pt idx="9">
                  <c:v>46289</c:v>
                </c:pt>
                <c:pt idx="10">
                  <c:v>46290</c:v>
                </c:pt>
                <c:pt idx="11">
                  <c:v>46291</c:v>
                </c:pt>
                <c:pt idx="12">
                  <c:v>46292</c:v>
                </c:pt>
                <c:pt idx="13">
                  <c:v>46293</c:v>
                </c:pt>
                <c:pt idx="14">
                  <c:v>46294</c:v>
                </c:pt>
                <c:pt idx="15">
                  <c:v>46295</c:v>
                </c:pt>
                <c:pt idx="16">
                  <c:v>46296</c:v>
                </c:pt>
                <c:pt idx="17">
                  <c:v>46297</c:v>
                </c:pt>
                <c:pt idx="18">
                  <c:v>46298</c:v>
                </c:pt>
                <c:pt idx="19">
                  <c:v>46299</c:v>
                </c:pt>
                <c:pt idx="20">
                  <c:v>46300</c:v>
                </c:pt>
                <c:pt idx="21">
                  <c:v>46301</c:v>
                </c:pt>
                <c:pt idx="22">
                  <c:v>46302</c:v>
                </c:pt>
                <c:pt idx="23">
                  <c:v>46303</c:v>
                </c:pt>
                <c:pt idx="24">
                  <c:v>46304</c:v>
                </c:pt>
                <c:pt idx="25">
                  <c:v>46305</c:v>
                </c:pt>
                <c:pt idx="26">
                  <c:v>46306</c:v>
                </c:pt>
                <c:pt idx="27">
                  <c:v>46307</c:v>
                </c:pt>
                <c:pt idx="28">
                  <c:v>46308</c:v>
                </c:pt>
                <c:pt idx="29">
                  <c:v>46309</c:v>
                </c:pt>
                <c:pt idx="30">
                  <c:v>46310</c:v>
                </c:pt>
                <c:pt idx="31">
                  <c:v>46311</c:v>
                </c:pt>
                <c:pt idx="32">
                  <c:v>46312</c:v>
                </c:pt>
                <c:pt idx="33">
                  <c:v>46313</c:v>
                </c:pt>
                <c:pt idx="34">
                  <c:v>46314</c:v>
                </c:pt>
                <c:pt idx="35">
                  <c:v>46315</c:v>
                </c:pt>
                <c:pt idx="36">
                  <c:v>46316</c:v>
                </c:pt>
                <c:pt idx="37">
                  <c:v>46317</c:v>
                </c:pt>
                <c:pt idx="38">
                  <c:v>46318</c:v>
                </c:pt>
                <c:pt idx="39">
                  <c:v>46319</c:v>
                </c:pt>
                <c:pt idx="40">
                  <c:v>46320</c:v>
                </c:pt>
                <c:pt idx="41">
                  <c:v>46321</c:v>
                </c:pt>
                <c:pt idx="42">
                  <c:v>46322</c:v>
                </c:pt>
                <c:pt idx="43">
                  <c:v>46323</c:v>
                </c:pt>
                <c:pt idx="44">
                  <c:v>46324</c:v>
                </c:pt>
                <c:pt idx="45">
                  <c:v>46325</c:v>
                </c:pt>
                <c:pt idx="46">
                  <c:v>46326</c:v>
                </c:pt>
                <c:pt idx="47">
                  <c:v>46327</c:v>
                </c:pt>
                <c:pt idx="48">
                  <c:v>46328</c:v>
                </c:pt>
                <c:pt idx="49">
                  <c:v>46329</c:v>
                </c:pt>
                <c:pt idx="50">
                  <c:v>46330</c:v>
                </c:pt>
                <c:pt idx="51">
                  <c:v>46331</c:v>
                </c:pt>
                <c:pt idx="52">
                  <c:v>46332</c:v>
                </c:pt>
                <c:pt idx="53">
                  <c:v>46333</c:v>
                </c:pt>
                <c:pt idx="54">
                  <c:v>46334</c:v>
                </c:pt>
                <c:pt idx="55">
                  <c:v>46335</c:v>
                </c:pt>
                <c:pt idx="56">
                  <c:v>46336</c:v>
                </c:pt>
                <c:pt idx="57">
                  <c:v>46337</c:v>
                </c:pt>
                <c:pt idx="58">
                  <c:v>46338</c:v>
                </c:pt>
                <c:pt idx="59">
                  <c:v>46339</c:v>
                </c:pt>
                <c:pt idx="60">
                  <c:v>46340</c:v>
                </c:pt>
              </c:numCache>
            </c:numRef>
          </c:cat>
          <c:val>
            <c:numRef>
              <c:f>'The model'!$L$54:$L$114</c:f>
              <c:numCache>
                <c:formatCode>0</c:formatCode>
                <c:ptCount val="61"/>
                <c:pt idx="0">
                  <c:v>1998.6014239650267</c:v>
                </c:pt>
                <c:pt idx="1">
                  <c:v>2030.5192560863909</c:v>
                </c:pt>
                <c:pt idx="2">
                  <c:v>2060.8907182649818</c:v>
                </c:pt>
                <c:pt idx="3">
                  <c:v>2092.5489332689663</c:v>
                </c:pt>
                <c:pt idx="4">
                  <c:v>2124.9656814908662</c:v>
                </c:pt>
                <c:pt idx="5">
                  <c:v>2158.076965125164</c:v>
                </c:pt>
                <c:pt idx="6">
                  <c:v>2191.8319552930961</c:v>
                </c:pt>
                <c:pt idx="7">
                  <c:v>2226.1901556988519</c:v>
                </c:pt>
                <c:pt idx="8">
                  <c:v>2261.1191607626206</c:v>
                </c:pt>
                <c:pt idx="9">
                  <c:v>2296.5928803301845</c:v>
                </c:pt>
                <c:pt idx="10">
                  <c:v>2332.5901306427722</c:v>
                </c:pt>
                <c:pt idx="11">
                  <c:v>2369.093512808925</c:v>
                </c:pt>
                <c:pt idx="12">
                  <c:v>2406.0885168754116</c:v>
                </c:pt>
                <c:pt idx="13">
                  <c:v>2443.5628027760558</c:v>
                </c:pt>
                <c:pt idx="14">
                  <c:v>2481.3965930219497</c:v>
                </c:pt>
                <c:pt idx="15">
                  <c:v>2519.3416542676855</c:v>
                </c:pt>
                <c:pt idx="16">
                  <c:v>2557.5389764047322</c:v>
                </c:pt>
                <c:pt idx="17">
                  <c:v>2596.0455470649663</c:v>
                </c:pt>
                <c:pt idx="18">
                  <c:v>2634.9026641844421</c:v>
                </c:pt>
                <c:pt idx="19">
                  <c:v>2674.1393140623973</c:v>
                </c:pt>
                <c:pt idx="20">
                  <c:v>2713.7747730144874</c:v>
                </c:pt>
                <c:pt idx="21">
                  <c:v>2753.8206019649206</c:v>
                </c:pt>
                <c:pt idx="22">
                  <c:v>2794.2821651866075</c:v>
                </c:pt>
                <c:pt idx="23">
                  <c:v>2835.1597746097623</c:v>
                </c:pt>
                <c:pt idx="24">
                  <c:v>2876.4495377543058</c:v>
                </c:pt>
                <c:pt idx="25">
                  <c:v>2918.1439688852533</c:v>
                </c:pt>
                <c:pt idx="26">
                  <c:v>2960.2324082292212</c:v>
                </c:pt>
                <c:pt idx="27">
                  <c:v>3002.6889470705719</c:v>
                </c:pt>
                <c:pt idx="28">
                  <c:v>3045.4592587016523</c:v>
                </c:pt>
                <c:pt idx="29">
                  <c:v>3088.5074617986556</c:v>
                </c:pt>
                <c:pt idx="30">
                  <c:v>3131.8040638651787</c:v>
                </c:pt>
                <c:pt idx="31">
                  <c:v>3175.3228558225023</c:v>
                </c:pt>
                <c:pt idx="32">
                  <c:v>3219.0384072232955</c:v>
                </c:pt>
                <c:pt idx="33">
                  <c:v>3262.9239317939837</c:v>
                </c:pt>
                <c:pt idx="34">
                  <c:v>3306.9492911597158</c:v>
                </c:pt>
                <c:pt idx="35">
                  <c:v>3351.0788429451027</c:v>
                </c:pt>
                <c:pt idx="36">
                  <c:v>3395.2686362500785</c:v>
                </c:pt>
                <c:pt idx="37">
                  <c:v>3439.4618224556325</c:v>
                </c:pt>
                <c:pt idx="38">
                  <c:v>3483.5746738131324</c:v>
                </c:pt>
                <c:pt idx="39">
                  <c:v>3527.4778668046206</c:v>
                </c:pt>
                <c:pt idx="40">
                  <c:v>3571.4285545602647</c:v>
                </c:pt>
                <c:pt idx="41">
                  <c:v>3615.360631415454</c:v>
                </c:pt>
                <c:pt idx="42">
                  <c:v>3659.1954124471472</c:v>
                </c:pt>
                <c:pt idx="43">
                  <c:v>3700.7686602865974</c:v>
                </c:pt>
                <c:pt idx="44">
                  <c:v>3741.998624212697</c:v>
                </c:pt>
                <c:pt idx="45">
                  <c:v>3782.7523321698477</c:v>
                </c:pt>
                <c:pt idx="46">
                  <c:v>3822.8623392662166</c:v>
                </c:pt>
                <c:pt idx="47">
                  <c:v>3862.1091387947768</c:v>
                </c:pt>
                <c:pt idx="48">
                  <c:v>3900.1877390596701</c:v>
                </c:pt>
                <c:pt idx="49">
                  <c:v>3936.6172190881239</c:v>
                </c:pt>
                <c:pt idx="50">
                  <c:v>3970.5324520597287</c:v>
                </c:pt>
                <c:pt idx="51">
                  <c:v>4002.2351928785247</c:v>
                </c:pt>
                <c:pt idx="52">
                  <c:v>4034.9758287295658</c:v>
                </c:pt>
                <c:pt idx="53">
                  <c:v>4068.7149697522291</c:v>
                </c:pt>
                <c:pt idx="54">
                  <c:v>4095.1275423516313</c:v>
                </c:pt>
                <c:pt idx="55">
                  <c:v>4100.3371752186222</c:v>
                </c:pt>
                <c:pt idx="56">
                  <c:v>4105.8117726561541</c:v>
                </c:pt>
                <c:pt idx="57">
                  <c:v>4111.5476068539811</c:v>
                </c:pt>
                <c:pt idx="58">
                  <c:v>4117.5400378365193</c:v>
                </c:pt>
                <c:pt idx="59">
                  <c:v>4123.783276713817</c:v>
                </c:pt>
                <c:pt idx="60">
                  <c:v>4130.2700269934303</c:v>
                </c:pt>
              </c:numCache>
            </c:numRef>
          </c:val>
          <c:smooth val="0"/>
          <c:extLst>
            <c:ext xmlns:c16="http://schemas.microsoft.com/office/drawing/2014/chart" uri="{C3380CC4-5D6E-409C-BE32-E72D297353CC}">
              <c16:uniqueId val="{00000002-80C3-458D-94FE-FDD3FB525AE5}"/>
            </c:ext>
          </c:extLst>
        </c:ser>
        <c:ser>
          <c:idx val="9"/>
          <c:order val="1"/>
          <c:tx>
            <c:v>Mites protected in brood</c:v>
          </c:tx>
          <c:spPr>
            <a:ln w="28575">
              <a:solidFill>
                <a:srgbClr val="C35D09"/>
              </a:solidFill>
              <a:prstDash val="sysDash"/>
            </a:ln>
          </c:spPr>
          <c:marker>
            <c:symbol val="none"/>
          </c:marker>
          <c:cat>
            <c:numRef>
              <c:f>'The model'!$BG$54:$BG$114</c:f>
              <c:numCache>
                <c:formatCode>[$-409]d\-mmm;@</c:formatCode>
                <c:ptCount val="61"/>
                <c:pt idx="0">
                  <c:v>46280</c:v>
                </c:pt>
                <c:pt idx="1">
                  <c:v>46281</c:v>
                </c:pt>
                <c:pt idx="2">
                  <c:v>46282</c:v>
                </c:pt>
                <c:pt idx="3">
                  <c:v>46283</c:v>
                </c:pt>
                <c:pt idx="4">
                  <c:v>46284</c:v>
                </c:pt>
                <c:pt idx="5">
                  <c:v>46285</c:v>
                </c:pt>
                <c:pt idx="6">
                  <c:v>46286</c:v>
                </c:pt>
                <c:pt idx="7">
                  <c:v>46287</c:v>
                </c:pt>
                <c:pt idx="8">
                  <c:v>46288</c:v>
                </c:pt>
                <c:pt idx="9">
                  <c:v>46289</c:v>
                </c:pt>
                <c:pt idx="10">
                  <c:v>46290</c:v>
                </c:pt>
                <c:pt idx="11">
                  <c:v>46291</c:v>
                </c:pt>
                <c:pt idx="12">
                  <c:v>46292</c:v>
                </c:pt>
                <c:pt idx="13">
                  <c:v>46293</c:v>
                </c:pt>
                <c:pt idx="14">
                  <c:v>46294</c:v>
                </c:pt>
                <c:pt idx="15">
                  <c:v>46295</c:v>
                </c:pt>
                <c:pt idx="16">
                  <c:v>46296</c:v>
                </c:pt>
                <c:pt idx="17">
                  <c:v>46297</c:v>
                </c:pt>
                <c:pt idx="18">
                  <c:v>46298</c:v>
                </c:pt>
                <c:pt idx="19">
                  <c:v>46299</c:v>
                </c:pt>
                <c:pt idx="20">
                  <c:v>46300</c:v>
                </c:pt>
                <c:pt idx="21">
                  <c:v>46301</c:v>
                </c:pt>
                <c:pt idx="22">
                  <c:v>46302</c:v>
                </c:pt>
                <c:pt idx="23">
                  <c:v>46303</c:v>
                </c:pt>
                <c:pt idx="24">
                  <c:v>46304</c:v>
                </c:pt>
                <c:pt idx="25">
                  <c:v>46305</c:v>
                </c:pt>
                <c:pt idx="26">
                  <c:v>46306</c:v>
                </c:pt>
                <c:pt idx="27">
                  <c:v>46307</c:v>
                </c:pt>
                <c:pt idx="28">
                  <c:v>46308</c:v>
                </c:pt>
                <c:pt idx="29">
                  <c:v>46309</c:v>
                </c:pt>
                <c:pt idx="30">
                  <c:v>46310</c:v>
                </c:pt>
                <c:pt idx="31">
                  <c:v>46311</c:v>
                </c:pt>
                <c:pt idx="32">
                  <c:v>46312</c:v>
                </c:pt>
                <c:pt idx="33">
                  <c:v>46313</c:v>
                </c:pt>
                <c:pt idx="34">
                  <c:v>46314</c:v>
                </c:pt>
                <c:pt idx="35">
                  <c:v>46315</c:v>
                </c:pt>
                <c:pt idx="36">
                  <c:v>46316</c:v>
                </c:pt>
                <c:pt idx="37">
                  <c:v>46317</c:v>
                </c:pt>
                <c:pt idx="38">
                  <c:v>46318</c:v>
                </c:pt>
                <c:pt idx="39">
                  <c:v>46319</c:v>
                </c:pt>
                <c:pt idx="40">
                  <c:v>46320</c:v>
                </c:pt>
                <c:pt idx="41">
                  <c:v>46321</c:v>
                </c:pt>
                <c:pt idx="42">
                  <c:v>46322</c:v>
                </c:pt>
                <c:pt idx="43">
                  <c:v>46323</c:v>
                </c:pt>
                <c:pt idx="44">
                  <c:v>46324</c:v>
                </c:pt>
                <c:pt idx="45">
                  <c:v>46325</c:v>
                </c:pt>
                <c:pt idx="46">
                  <c:v>46326</c:v>
                </c:pt>
                <c:pt idx="47">
                  <c:v>46327</c:v>
                </c:pt>
                <c:pt idx="48">
                  <c:v>46328</c:v>
                </c:pt>
                <c:pt idx="49">
                  <c:v>46329</c:v>
                </c:pt>
                <c:pt idx="50">
                  <c:v>46330</c:v>
                </c:pt>
                <c:pt idx="51">
                  <c:v>46331</c:v>
                </c:pt>
                <c:pt idx="52">
                  <c:v>46332</c:v>
                </c:pt>
                <c:pt idx="53">
                  <c:v>46333</c:v>
                </c:pt>
                <c:pt idx="54">
                  <c:v>46334</c:v>
                </c:pt>
                <c:pt idx="55">
                  <c:v>46335</c:v>
                </c:pt>
                <c:pt idx="56">
                  <c:v>46336</c:v>
                </c:pt>
                <c:pt idx="57">
                  <c:v>46337</c:v>
                </c:pt>
                <c:pt idx="58">
                  <c:v>46338</c:v>
                </c:pt>
                <c:pt idx="59">
                  <c:v>46339</c:v>
                </c:pt>
                <c:pt idx="60">
                  <c:v>46340</c:v>
                </c:pt>
              </c:numCache>
            </c:numRef>
          </c:cat>
          <c:val>
            <c:numRef>
              <c:f>'The model'!$AB$54:$AB$114</c:f>
              <c:numCache>
                <c:formatCode>0</c:formatCode>
                <c:ptCount val="61"/>
                <c:pt idx="0">
                  <c:v>1028.6748472443633</c:v>
                </c:pt>
                <c:pt idx="1">
                  <c:v>1045.5012962032133</c:v>
                </c:pt>
                <c:pt idx="2">
                  <c:v>1060.8173190274517</c:v>
                </c:pt>
                <c:pt idx="3">
                  <c:v>1074.9972121451901</c:v>
                </c:pt>
                <c:pt idx="4">
                  <c:v>1088.326091594324</c:v>
                </c:pt>
                <c:pt idx="5">
                  <c:v>1101.0194259912671</c:v>
                </c:pt>
                <c:pt idx="6">
                  <c:v>1113.2382454651033</c:v>
                </c:pt>
                <c:pt idx="7">
                  <c:v>1125.1009732807129</c:v>
                </c:pt>
                <c:pt idx="8">
                  <c:v>1136.6926175120298</c:v>
                </c:pt>
                <c:pt idx="9">
                  <c:v>1148.0718970425421</c:v>
                </c:pt>
                <c:pt idx="10">
                  <c:v>1159.2767490117994</c:v>
                </c:pt>
                <c:pt idx="11">
                  <c:v>1170.3285655553741</c:v>
                </c:pt>
                <c:pt idx="12">
                  <c:v>1181.2354300505635</c:v>
                </c:pt>
                <c:pt idx="13">
                  <c:v>1193.0848294598634</c:v>
                </c:pt>
                <c:pt idx="14">
                  <c:v>1205.2383716578538</c:v>
                </c:pt>
                <c:pt idx="15">
                  <c:v>1217.4274678507413</c:v>
                </c:pt>
                <c:pt idx="16">
                  <c:v>1229.4530861639091</c:v>
                </c:pt>
                <c:pt idx="17">
                  <c:v>1241.1664425489234</c:v>
                </c:pt>
                <c:pt idx="18">
                  <c:v>1252.4542003966853</c:v>
                </c:pt>
                <c:pt idx="19">
                  <c:v>1263.2270839406883</c:v>
                </c:pt>
                <c:pt idx="20">
                  <c:v>1273.4110533306705</c:v>
                </c:pt>
                <c:pt idx="21">
                  <c:v>1282.9403727103077</c:v>
                </c:pt>
                <c:pt idx="22">
                  <c:v>1291.7520387841416</c:v>
                </c:pt>
                <c:pt idx="23">
                  <c:v>1299.7811346536257</c:v>
                </c:pt>
                <c:pt idx="24">
                  <c:v>1306.9567372903625</c:v>
                </c:pt>
                <c:pt idx="25">
                  <c:v>1313.1980385844315</c:v>
                </c:pt>
                <c:pt idx="26">
                  <c:v>1318.5336862755305</c:v>
                </c:pt>
                <c:pt idx="27">
                  <c:v>1322.892090849025</c:v>
                </c:pt>
                <c:pt idx="28">
                  <c:v>1326.1465090712738</c:v>
                </c:pt>
                <c:pt idx="29">
                  <c:v>1328.1195831738412</c:v>
                </c:pt>
                <c:pt idx="30">
                  <c:v>1328.5815137596903</c:v>
                </c:pt>
                <c:pt idx="31">
                  <c:v>1327.2408954435357</c:v>
                </c:pt>
                <c:pt idx="32">
                  <c:v>1323.7253881529632</c:v>
                </c:pt>
                <c:pt idx="33">
                  <c:v>1317.54563292273</c:v>
                </c:pt>
                <c:pt idx="34">
                  <c:v>1308.0267954794579</c:v>
                </c:pt>
                <c:pt idx="35">
                  <c:v>1294.1661717002405</c:v>
                </c:pt>
                <c:pt idx="36">
                  <c:v>1274.1160591158705</c:v>
                </c:pt>
                <c:pt idx="37">
                  <c:v>1244.4818406398315</c:v>
                </c:pt>
                <c:pt idx="38">
                  <c:v>1217.7054018027554</c:v>
                </c:pt>
                <c:pt idx="39">
                  <c:v>1193.8435907621704</c:v>
                </c:pt>
                <c:pt idx="40">
                  <c:v>1172.9816198028564</c:v>
                </c:pt>
                <c:pt idx="41">
                  <c:v>1072.3975472572877</c:v>
                </c:pt>
                <c:pt idx="42">
                  <c:v>973.44005732415735</c:v>
                </c:pt>
                <c:pt idx="43">
                  <c:v>876.43997609620624</c:v>
                </c:pt>
                <c:pt idx="44">
                  <c:v>781.80928352267892</c:v>
                </c:pt>
                <c:pt idx="45">
                  <c:v>690.07994846317763</c:v>
                </c:pt>
                <c:pt idx="46">
                  <c:v>601.97439887542487</c:v>
                </c:pt>
                <c:pt idx="47">
                  <c:v>518.54921418860738</c:v>
                </c:pt>
                <c:pt idx="48">
                  <c:v>441.71254605125199</c:v>
                </c:pt>
                <c:pt idx="49">
                  <c:v>374.92293033787541</c:v>
                </c:pt>
                <c:pt idx="50">
                  <c:v>305.79834998910275</c:v>
                </c:pt>
                <c:pt idx="51">
                  <c:v>234.46399755549427</c:v>
                </c:pt>
                <c:pt idx="52">
                  <c:v>161.04884261490599</c:v>
                </c:pt>
                <c:pt idx="53">
                  <c:v>168.52537243207007</c:v>
                </c:pt>
                <c:pt idx="54">
                  <c:v>175.26043109232933</c:v>
                </c:pt>
                <c:pt idx="55">
                  <c:v>181.26911202975538</c:v>
                </c:pt>
                <c:pt idx="56">
                  <c:v>186.56874899389865</c:v>
                </c:pt>
                <c:pt idx="57">
                  <c:v>191.17947292520648</c:v>
                </c:pt>
                <c:pt idx="58">
                  <c:v>195.12503789144128</c:v>
                </c:pt>
                <c:pt idx="59">
                  <c:v>198.43413618573064</c:v>
                </c:pt>
                <c:pt idx="60">
                  <c:v>201.14271269574084</c:v>
                </c:pt>
              </c:numCache>
            </c:numRef>
          </c:val>
          <c:smooth val="0"/>
          <c:extLst>
            <c:ext xmlns:c16="http://schemas.microsoft.com/office/drawing/2014/chart" uri="{C3380CC4-5D6E-409C-BE32-E72D297353CC}">
              <c16:uniqueId val="{00000003-80C3-458D-94FE-FDD3FB525AE5}"/>
            </c:ext>
          </c:extLst>
        </c:ser>
        <c:ser>
          <c:idx val="4"/>
          <c:order val="4"/>
          <c:tx>
            <c:v>Mite pop labels</c:v>
          </c:tx>
          <c:marker>
            <c:symbol val="none"/>
          </c:marker>
          <c:cat>
            <c:numRef>
              <c:f>'The model'!$BG$54:$BG$114</c:f>
              <c:numCache>
                <c:formatCode>[$-409]d\-mmm;@</c:formatCode>
                <c:ptCount val="61"/>
                <c:pt idx="0">
                  <c:v>46280</c:v>
                </c:pt>
                <c:pt idx="1">
                  <c:v>46281</c:v>
                </c:pt>
                <c:pt idx="2">
                  <c:v>46282</c:v>
                </c:pt>
                <c:pt idx="3">
                  <c:v>46283</c:v>
                </c:pt>
                <c:pt idx="4">
                  <c:v>46284</c:v>
                </c:pt>
                <c:pt idx="5">
                  <c:v>46285</c:v>
                </c:pt>
                <c:pt idx="6">
                  <c:v>46286</c:v>
                </c:pt>
                <c:pt idx="7">
                  <c:v>46287</c:v>
                </c:pt>
                <c:pt idx="8">
                  <c:v>46288</c:v>
                </c:pt>
                <c:pt idx="9">
                  <c:v>46289</c:v>
                </c:pt>
                <c:pt idx="10">
                  <c:v>46290</c:v>
                </c:pt>
                <c:pt idx="11">
                  <c:v>46291</c:v>
                </c:pt>
                <c:pt idx="12">
                  <c:v>46292</c:v>
                </c:pt>
                <c:pt idx="13">
                  <c:v>46293</c:v>
                </c:pt>
                <c:pt idx="14">
                  <c:v>46294</c:v>
                </c:pt>
                <c:pt idx="15">
                  <c:v>46295</c:v>
                </c:pt>
                <c:pt idx="16">
                  <c:v>46296</c:v>
                </c:pt>
                <c:pt idx="17">
                  <c:v>46297</c:v>
                </c:pt>
                <c:pt idx="18">
                  <c:v>46298</c:v>
                </c:pt>
                <c:pt idx="19">
                  <c:v>46299</c:v>
                </c:pt>
                <c:pt idx="20">
                  <c:v>46300</c:v>
                </c:pt>
                <c:pt idx="21">
                  <c:v>46301</c:v>
                </c:pt>
                <c:pt idx="22">
                  <c:v>46302</c:v>
                </c:pt>
                <c:pt idx="23">
                  <c:v>46303</c:v>
                </c:pt>
                <c:pt idx="24">
                  <c:v>46304</c:v>
                </c:pt>
                <c:pt idx="25">
                  <c:v>46305</c:v>
                </c:pt>
                <c:pt idx="26">
                  <c:v>46306</c:v>
                </c:pt>
                <c:pt idx="27">
                  <c:v>46307</c:v>
                </c:pt>
                <c:pt idx="28">
                  <c:v>46308</c:v>
                </c:pt>
                <c:pt idx="29">
                  <c:v>46309</c:v>
                </c:pt>
                <c:pt idx="30">
                  <c:v>46310</c:v>
                </c:pt>
                <c:pt idx="31">
                  <c:v>46311</c:v>
                </c:pt>
                <c:pt idx="32">
                  <c:v>46312</c:v>
                </c:pt>
                <c:pt idx="33">
                  <c:v>46313</c:v>
                </c:pt>
                <c:pt idx="34">
                  <c:v>46314</c:v>
                </c:pt>
                <c:pt idx="35">
                  <c:v>46315</c:v>
                </c:pt>
                <c:pt idx="36">
                  <c:v>46316</c:v>
                </c:pt>
                <c:pt idx="37">
                  <c:v>46317</c:v>
                </c:pt>
                <c:pt idx="38">
                  <c:v>46318</c:v>
                </c:pt>
                <c:pt idx="39">
                  <c:v>46319</c:v>
                </c:pt>
                <c:pt idx="40">
                  <c:v>46320</c:v>
                </c:pt>
                <c:pt idx="41">
                  <c:v>46321</c:v>
                </c:pt>
                <c:pt idx="42">
                  <c:v>46322</c:v>
                </c:pt>
                <c:pt idx="43">
                  <c:v>46323</c:v>
                </c:pt>
                <c:pt idx="44">
                  <c:v>46324</c:v>
                </c:pt>
                <c:pt idx="45">
                  <c:v>46325</c:v>
                </c:pt>
                <c:pt idx="46">
                  <c:v>46326</c:v>
                </c:pt>
                <c:pt idx="47">
                  <c:v>46327</c:v>
                </c:pt>
                <c:pt idx="48">
                  <c:v>46328</c:v>
                </c:pt>
                <c:pt idx="49">
                  <c:v>46329</c:v>
                </c:pt>
                <c:pt idx="50">
                  <c:v>46330</c:v>
                </c:pt>
                <c:pt idx="51">
                  <c:v>46331</c:v>
                </c:pt>
                <c:pt idx="52">
                  <c:v>46332</c:v>
                </c:pt>
                <c:pt idx="53">
                  <c:v>46333</c:v>
                </c:pt>
                <c:pt idx="54">
                  <c:v>46334</c:v>
                </c:pt>
                <c:pt idx="55">
                  <c:v>46335</c:v>
                </c:pt>
                <c:pt idx="56">
                  <c:v>46336</c:v>
                </c:pt>
                <c:pt idx="57">
                  <c:v>46337</c:v>
                </c:pt>
                <c:pt idx="58">
                  <c:v>46338</c:v>
                </c:pt>
                <c:pt idx="59">
                  <c:v>46339</c:v>
                </c:pt>
                <c:pt idx="60">
                  <c:v>46340</c:v>
                </c:pt>
              </c:numCache>
            </c:numRef>
          </c:cat>
          <c:val>
            <c:numRef>
              <c:f>'The model'!$AK$54:$AK$114</c:f>
              <c:numCache>
                <c:formatCode>d\-mmm</c:formatCode>
                <c:ptCount val="61"/>
                <c:pt idx="0" formatCode="0">
                  <c:v>1998.6014239650267</c:v>
                </c:pt>
                <c:pt idx="6" formatCode="0">
                  <c:v>2191.8319552930961</c:v>
                </c:pt>
                <c:pt idx="12" formatCode="0">
                  <c:v>2406.0885168754116</c:v>
                </c:pt>
                <c:pt idx="18" formatCode="0">
                  <c:v>2634.9026641844421</c:v>
                </c:pt>
                <c:pt idx="24" formatCode="0">
                  <c:v>2876.4495377543058</c:v>
                </c:pt>
                <c:pt idx="30" formatCode="0">
                  <c:v>3131.8040638651787</c:v>
                </c:pt>
                <c:pt idx="36" formatCode="0">
                  <c:v>3395.2686362500785</c:v>
                </c:pt>
                <c:pt idx="42" formatCode="0">
                  <c:v>3659.1954124471472</c:v>
                </c:pt>
                <c:pt idx="48" formatCode="0">
                  <c:v>3900.1877390596701</c:v>
                </c:pt>
                <c:pt idx="54" formatCode="0">
                  <c:v>4095.1275423516313</c:v>
                </c:pt>
                <c:pt idx="60" formatCode="0">
                  <c:v>4130.2700269934303</c:v>
                </c:pt>
              </c:numCache>
            </c:numRef>
          </c:val>
          <c:smooth val="0"/>
          <c:extLst>
            <c:ext xmlns:c16="http://schemas.microsoft.com/office/drawing/2014/chart" uri="{C3380CC4-5D6E-409C-BE32-E72D297353CC}">
              <c16:uniqueId val="{00000004-80C3-458D-94FE-FDD3FB525AE5}"/>
            </c:ext>
          </c:extLst>
        </c:ser>
        <c:ser>
          <c:idx val="2"/>
          <c:order val="5"/>
          <c:tx>
            <c:v>OAV application</c:v>
          </c:tx>
          <c:spPr>
            <a:ln w="28575">
              <a:noFill/>
            </a:ln>
          </c:spPr>
          <c:marker>
            <c:symbol val="triangle"/>
            <c:size val="8"/>
            <c:spPr>
              <a:solidFill>
                <a:srgbClr val="FF0000"/>
              </a:solidFill>
              <a:ln>
                <a:noFill/>
              </a:ln>
            </c:spPr>
          </c:marker>
          <c:cat>
            <c:numRef>
              <c:f>'The model'!$BG$54:$BG$114</c:f>
              <c:numCache>
                <c:formatCode>[$-409]d\-mmm;@</c:formatCode>
                <c:ptCount val="61"/>
                <c:pt idx="0">
                  <c:v>46280</c:v>
                </c:pt>
                <c:pt idx="1">
                  <c:v>46281</c:v>
                </c:pt>
                <c:pt idx="2">
                  <c:v>46282</c:v>
                </c:pt>
                <c:pt idx="3">
                  <c:v>46283</c:v>
                </c:pt>
                <c:pt idx="4">
                  <c:v>46284</c:v>
                </c:pt>
                <c:pt idx="5">
                  <c:v>46285</c:v>
                </c:pt>
                <c:pt idx="6">
                  <c:v>46286</c:v>
                </c:pt>
                <c:pt idx="7">
                  <c:v>46287</c:v>
                </c:pt>
                <c:pt idx="8">
                  <c:v>46288</c:v>
                </c:pt>
                <c:pt idx="9">
                  <c:v>46289</c:v>
                </c:pt>
                <c:pt idx="10">
                  <c:v>46290</c:v>
                </c:pt>
                <c:pt idx="11">
                  <c:v>46291</c:v>
                </c:pt>
                <c:pt idx="12">
                  <c:v>46292</c:v>
                </c:pt>
                <c:pt idx="13">
                  <c:v>46293</c:v>
                </c:pt>
                <c:pt idx="14">
                  <c:v>46294</c:v>
                </c:pt>
                <c:pt idx="15">
                  <c:v>46295</c:v>
                </c:pt>
                <c:pt idx="16">
                  <c:v>46296</c:v>
                </c:pt>
                <c:pt idx="17">
                  <c:v>46297</c:v>
                </c:pt>
                <c:pt idx="18">
                  <c:v>46298</c:v>
                </c:pt>
                <c:pt idx="19">
                  <c:v>46299</c:v>
                </c:pt>
                <c:pt idx="20">
                  <c:v>46300</c:v>
                </c:pt>
                <c:pt idx="21">
                  <c:v>46301</c:v>
                </c:pt>
                <c:pt idx="22">
                  <c:v>46302</c:v>
                </c:pt>
                <c:pt idx="23">
                  <c:v>46303</c:v>
                </c:pt>
                <c:pt idx="24">
                  <c:v>46304</c:v>
                </c:pt>
                <c:pt idx="25">
                  <c:v>46305</c:v>
                </c:pt>
                <c:pt idx="26">
                  <c:v>46306</c:v>
                </c:pt>
                <c:pt idx="27">
                  <c:v>46307</c:v>
                </c:pt>
                <c:pt idx="28">
                  <c:v>46308</c:v>
                </c:pt>
                <c:pt idx="29">
                  <c:v>46309</c:v>
                </c:pt>
                <c:pt idx="30">
                  <c:v>46310</c:v>
                </c:pt>
                <c:pt idx="31">
                  <c:v>46311</c:v>
                </c:pt>
                <c:pt idx="32">
                  <c:v>46312</c:v>
                </c:pt>
                <c:pt idx="33">
                  <c:v>46313</c:v>
                </c:pt>
                <c:pt idx="34">
                  <c:v>46314</c:v>
                </c:pt>
                <c:pt idx="35">
                  <c:v>46315</c:v>
                </c:pt>
                <c:pt idx="36">
                  <c:v>46316</c:v>
                </c:pt>
                <c:pt idx="37">
                  <c:v>46317</c:v>
                </c:pt>
                <c:pt idx="38">
                  <c:v>46318</c:v>
                </c:pt>
                <c:pt idx="39">
                  <c:v>46319</c:v>
                </c:pt>
                <c:pt idx="40">
                  <c:v>46320</c:v>
                </c:pt>
                <c:pt idx="41">
                  <c:v>46321</c:v>
                </c:pt>
                <c:pt idx="42">
                  <c:v>46322</c:v>
                </c:pt>
                <c:pt idx="43">
                  <c:v>46323</c:v>
                </c:pt>
                <c:pt idx="44">
                  <c:v>46324</c:v>
                </c:pt>
                <c:pt idx="45">
                  <c:v>46325</c:v>
                </c:pt>
                <c:pt idx="46">
                  <c:v>46326</c:v>
                </c:pt>
                <c:pt idx="47">
                  <c:v>46327</c:v>
                </c:pt>
                <c:pt idx="48">
                  <c:v>46328</c:v>
                </c:pt>
                <c:pt idx="49">
                  <c:v>46329</c:v>
                </c:pt>
                <c:pt idx="50">
                  <c:v>46330</c:v>
                </c:pt>
                <c:pt idx="51">
                  <c:v>46331</c:v>
                </c:pt>
                <c:pt idx="52">
                  <c:v>46332</c:v>
                </c:pt>
                <c:pt idx="53">
                  <c:v>46333</c:v>
                </c:pt>
                <c:pt idx="54">
                  <c:v>46334</c:v>
                </c:pt>
                <c:pt idx="55">
                  <c:v>46335</c:v>
                </c:pt>
                <c:pt idx="56">
                  <c:v>46336</c:v>
                </c:pt>
                <c:pt idx="57">
                  <c:v>46337</c:v>
                </c:pt>
                <c:pt idx="58">
                  <c:v>46338</c:v>
                </c:pt>
                <c:pt idx="59">
                  <c:v>46339</c:v>
                </c:pt>
                <c:pt idx="60">
                  <c:v>46340</c:v>
                </c:pt>
              </c:numCache>
            </c:numRef>
          </c:cat>
          <c:val>
            <c:numRef>
              <c:f>'The model'!$AR$54:$AR$114</c:f>
              <c:numCache>
                <c:formatCode>0</c:formatCode>
                <c:ptCount val="61"/>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numCache>
            </c:numRef>
          </c:val>
          <c:smooth val="0"/>
          <c:extLst>
            <c:ext xmlns:c16="http://schemas.microsoft.com/office/drawing/2014/chart" uri="{C3380CC4-5D6E-409C-BE32-E72D297353CC}">
              <c16:uniqueId val="{00000005-80C3-458D-94FE-FDD3FB525AE5}"/>
            </c:ext>
          </c:extLst>
        </c:ser>
        <c:dLbls>
          <c:showLegendKey val="0"/>
          <c:showVal val="0"/>
          <c:showCatName val="0"/>
          <c:showSerName val="0"/>
          <c:showPercent val="0"/>
          <c:showBubbleSize val="0"/>
        </c:dLbls>
        <c:marker val="1"/>
        <c:smooth val="0"/>
        <c:axId val="62124496"/>
        <c:axId val="62124976"/>
        <c:extLst/>
      </c:lineChart>
      <c:lineChart>
        <c:grouping val="standard"/>
        <c:varyColors val="0"/>
        <c:ser>
          <c:idx val="6"/>
          <c:order val="6"/>
          <c:tx>
            <c:v>Mite wash count</c:v>
          </c:tx>
          <c:spPr>
            <a:ln w="28575">
              <a:solidFill>
                <a:schemeClr val="tx1"/>
              </a:solidFill>
            </a:ln>
          </c:spPr>
          <c:marker>
            <c:symbol val="none"/>
          </c:marker>
          <c:dPt>
            <c:idx val="45"/>
            <c:bubble3D val="0"/>
            <c:extLst>
              <c:ext xmlns:c16="http://schemas.microsoft.com/office/drawing/2014/chart" uri="{C3380CC4-5D6E-409C-BE32-E72D297353CC}">
                <c16:uniqueId val="{00000006-80C3-458D-94FE-FDD3FB525AE5}"/>
              </c:ext>
            </c:extLst>
          </c:dPt>
          <c:dPt>
            <c:idx val="50"/>
            <c:bubble3D val="0"/>
            <c:spPr>
              <a:ln w="28575">
                <a:noFill/>
              </a:ln>
            </c:spPr>
            <c:extLst>
              <c:ext xmlns:c16="http://schemas.microsoft.com/office/drawing/2014/chart" uri="{C3380CC4-5D6E-409C-BE32-E72D297353CC}">
                <c16:uniqueId val="{00000008-80C3-458D-94FE-FDD3FB525AE5}"/>
              </c:ext>
            </c:extLst>
          </c:dPt>
          <c:dLbls>
            <c:dLbl>
              <c:idx val="0"/>
              <c:layout>
                <c:manualLayout>
                  <c:x val="-1.5873017399076799E-2"/>
                  <c:y val="-0.539119671914949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0C3-458D-94FE-FDD3FB525AE5}"/>
                </c:ext>
              </c:extLst>
            </c:dLbl>
            <c:dLbl>
              <c:idx val="8"/>
              <c:layout>
                <c:manualLayout>
                  <c:x val="0"/>
                  <c:y val="-0.5431896573363130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0C3-458D-94FE-FDD3FB525AE5}"/>
                </c:ext>
              </c:extLst>
            </c:dLbl>
            <c:dLbl>
              <c:idx val="18"/>
              <c:layout>
                <c:manualLayout>
                  <c:x val="-2.4420026767810444E-3"/>
                  <c:y val="-0.538129567776712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0C3-458D-94FE-FDD3FB525AE5}"/>
                </c:ext>
              </c:extLst>
            </c:dLbl>
            <c:dLbl>
              <c:idx val="28"/>
              <c:layout>
                <c:manualLayout>
                  <c:x val="-1.8315020075857922E-2"/>
                  <c:y val="-0.5431896573363130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0C3-458D-94FE-FDD3FB525AE5}"/>
                </c:ext>
              </c:extLst>
            </c:dLbl>
            <c:dLbl>
              <c:idx val="38"/>
              <c:layout>
                <c:manualLayout>
                  <c:x val="3.663004015171477E-3"/>
                  <c:y val="-0.5424196870155313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0C3-458D-94FE-FDD3FB525AE5}"/>
                </c:ext>
              </c:extLst>
            </c:dLbl>
            <c:dLbl>
              <c:idx val="49"/>
              <c:layout>
                <c:manualLayout>
                  <c:x val="-8.9539063785732778E-17"/>
                  <c:y val="-0.5426396216168619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0C3-458D-94FE-FDD3FB525AE5}"/>
                </c:ext>
              </c:extLst>
            </c:dLbl>
            <c:dLbl>
              <c:idx val="50"/>
              <c:delete val="1"/>
              <c:extLst>
                <c:ext xmlns:c15="http://schemas.microsoft.com/office/drawing/2012/chart" uri="{CE6537A1-D6FC-4f65-9D91-7224C49458BB}"/>
                <c:ext xmlns:c16="http://schemas.microsoft.com/office/drawing/2014/chart" uri="{C3380CC4-5D6E-409C-BE32-E72D297353CC}">
                  <c16:uniqueId val="{00000008-80C3-458D-94FE-FDD3FB525AE5}"/>
                </c:ext>
              </c:extLst>
            </c:dLbl>
            <c:dLbl>
              <c:idx val="60"/>
              <c:layout>
                <c:manualLayout>
                  <c:x val="-7.3260080303431327E-3"/>
                  <c:y val="-0.5409895144585086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0C3-458D-94FE-FDD3FB525AE5}"/>
                </c:ext>
              </c:extLst>
            </c:dLbl>
            <c:spPr>
              <a:solidFill>
                <a:schemeClr val="bg1"/>
              </a:solidFill>
              <a:ln>
                <a:solidFill>
                  <a:srgbClr val="00B0F0"/>
                </a:solidFill>
              </a:ln>
              <a:effectLst/>
            </c:spPr>
            <c:txPr>
              <a:bodyPr wrap="square" lIns="38100" tIns="19050" rIns="38100" bIns="19050" anchor="ctr">
                <a:spAutoFit/>
              </a:bodyPr>
              <a:lstStyle/>
              <a:p>
                <a:pPr>
                  <a:defRPr>
                    <a:solidFill>
                      <a:srgbClr val="00B0F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cat>
            <c:numRef>
              <c:f>'The model'!$J$54:$J$114</c:f>
              <c:numCache>
                <c:formatCode>0</c:formatCode>
                <c:ptCount val="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numCache>
            </c:numRef>
          </c:cat>
          <c:val>
            <c:numRef>
              <c:f>'The model'!$AH$54:$AH$114</c:f>
              <c:numCache>
                <c:formatCode>0</c:formatCode>
                <c:ptCount val="61"/>
                <c:pt idx="0">
                  <c:v>10.177983367965544</c:v>
                </c:pt>
                <c:pt idx="8">
                  <c:v>12.770723344783619</c:v>
                </c:pt>
                <c:pt idx="18">
                  <c:v>17.549428615663871</c:v>
                </c:pt>
                <c:pt idx="28">
                  <c:v>24.99010141458005</c:v>
                </c:pt>
                <c:pt idx="38">
                  <c:v>37.837085583465829</c:v>
                </c:pt>
                <c:pt idx="49">
                  <c:v>58.453405352092162</c:v>
                </c:pt>
                <c:pt idx="50">
                  <c:v>60.09450915948679</c:v>
                </c:pt>
                <c:pt idx="60">
                  <c:v>63.276629691980531</c:v>
                </c:pt>
              </c:numCache>
            </c:numRef>
          </c:val>
          <c:smooth val="0"/>
          <c:extLst>
            <c:ext xmlns:c16="http://schemas.microsoft.com/office/drawing/2014/chart" uri="{C3380CC4-5D6E-409C-BE32-E72D297353CC}">
              <c16:uniqueId val="{00000010-80C3-458D-94FE-FDD3FB525AE5}"/>
            </c:ext>
          </c:extLst>
        </c:ser>
        <c:ser>
          <c:idx val="12"/>
          <c:order val="7"/>
          <c:tx>
            <c:v>Mites on adult bees</c:v>
          </c:tx>
          <c:spPr>
            <a:ln>
              <a:solidFill>
                <a:srgbClr val="00B050"/>
              </a:solidFill>
              <a:prstDash val="sysDot"/>
            </a:ln>
          </c:spPr>
          <c:marker>
            <c:symbol val="none"/>
          </c:marker>
          <c:cat>
            <c:numRef>
              <c:f>'The model'!$J$54:$J$114</c:f>
              <c:numCache>
                <c:formatCode>0</c:formatCode>
                <c:ptCount val="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numCache>
            </c:numRef>
          </c:cat>
          <c:val>
            <c:numRef>
              <c:f>'The model'!$U$54:$U$114</c:f>
              <c:numCache>
                <c:formatCode>0</c:formatCode>
                <c:ptCount val="61"/>
                <c:pt idx="0">
                  <c:v>1041.1028226888377</c:v>
                </c:pt>
                <c:pt idx="1">
                  <c:v>1050.5229766539362</c:v>
                </c:pt>
                <c:pt idx="2">
                  <c:v>1065.5204028272096</c:v>
                </c:pt>
                <c:pt idx="3">
                  <c:v>1082.8653572398644</c:v>
                </c:pt>
                <c:pt idx="4">
                  <c:v>1102.1040207403125</c:v>
                </c:pt>
                <c:pt idx="5">
                  <c:v>1122.8884723238548</c:v>
                </c:pt>
                <c:pt idx="6">
                  <c:v>1144.9535506589659</c:v>
                </c:pt>
                <c:pt idx="7">
                  <c:v>1168.0988024455023</c:v>
                </c:pt>
                <c:pt idx="8">
                  <c:v>1192.1744062825021</c:v>
                </c:pt>
                <c:pt idx="9">
                  <c:v>1217.0702057473138</c:v>
                </c:pt>
                <c:pt idx="10">
                  <c:v>1242.7071763252477</c:v>
                </c:pt>
                <c:pt idx="11">
                  <c:v>1269.0307997530558</c:v>
                </c:pt>
                <c:pt idx="12">
                  <c:v>1296.0059356270131</c:v>
                </c:pt>
                <c:pt idx="13">
                  <c:v>1323.6128710692005</c:v>
                </c:pt>
                <c:pt idx="14">
                  <c:v>1350.3179263755642</c:v>
                </c:pt>
                <c:pt idx="15">
                  <c:v>1376.9517705441622</c:v>
                </c:pt>
                <c:pt idx="16">
                  <c:v>1403.8531882165562</c:v>
                </c:pt>
                <c:pt idx="17">
                  <c:v>1431.2724527157181</c:v>
                </c:pt>
                <c:pt idx="18">
                  <c:v>1459.3948428215356</c:v>
                </c:pt>
                <c:pt idx="19">
                  <c:v>1488.3586840236808</c:v>
                </c:pt>
                <c:pt idx="20">
                  <c:v>1518.2692232585314</c:v>
                </c:pt>
                <c:pt idx="21">
                  <c:v>1549.2093552572046</c:v>
                </c:pt>
                <c:pt idx="22">
                  <c:v>1581.2479977982184</c:v>
                </c:pt>
                <c:pt idx="23">
                  <c:v>1614.4467479091527</c:v>
                </c:pt>
                <c:pt idx="24">
                  <c:v>1648.8653310746304</c:v>
                </c:pt>
                <c:pt idx="25">
                  <c:v>1684.5662741733463</c:v>
                </c:pt>
                <c:pt idx="26">
                  <c:v>1721.6191873586606</c:v>
                </c:pt>
                <c:pt idx="27">
                  <c:v>1759.9323429133462</c:v>
                </c:pt>
                <c:pt idx="28">
                  <c:v>1799.5400906822883</c:v>
                </c:pt>
                <c:pt idx="29">
                  <c:v>1840.5408025976362</c:v>
                </c:pt>
                <c:pt idx="30">
                  <c:v>1883.0888175399059</c:v>
                </c:pt>
                <c:pt idx="31">
                  <c:v>1927.3935891430685</c:v>
                </c:pt>
                <c:pt idx="32">
                  <c:v>1973.7267836556778</c:v>
                </c:pt>
                <c:pt idx="33">
                  <c:v>2022.4399800908984</c:v>
                </c:pt>
                <c:pt idx="34">
                  <c:v>2073.9994249936376</c:v>
                </c:pt>
                <c:pt idx="35">
                  <c:v>2129.0533450512121</c:v>
                </c:pt>
                <c:pt idx="36">
                  <c:v>2188.5732862131849</c:v>
                </c:pt>
                <c:pt idx="37">
                  <c:v>2254.3701855877021</c:v>
                </c:pt>
                <c:pt idx="38">
                  <c:v>2329.7951390607518</c:v>
                </c:pt>
                <c:pt idx="39">
                  <c:v>2402.3546402200523</c:v>
                </c:pt>
                <c:pt idx="40">
                  <c:v>2471.9259654324719</c:v>
                </c:pt>
                <c:pt idx="41">
                  <c:v>2538.344833818282</c:v>
                </c:pt>
                <c:pt idx="42">
                  <c:v>2684.2392250497151</c:v>
                </c:pt>
                <c:pt idx="43">
                  <c:v>2828.1481894061967</c:v>
                </c:pt>
                <c:pt idx="44">
                  <c:v>2969.6045995041404</c:v>
                </c:pt>
                <c:pt idx="45">
                  <c:v>3108.0267783060867</c:v>
                </c:pt>
                <c:pt idx="46">
                  <c:v>3242.6639009460009</c:v>
                </c:pt>
                <c:pt idx="47">
                  <c:v>3372.4969981707468</c:v>
                </c:pt>
                <c:pt idx="48">
                  <c:v>3496.0372507286324</c:v>
                </c:pt>
                <c:pt idx="49">
                  <c:v>3610.6006606223873</c:v>
                </c:pt>
                <c:pt idx="50">
                  <c:v>3711.3273239423597</c:v>
                </c:pt>
                <c:pt idx="51">
                  <c:v>3815.5243910785262</c:v>
                </c:pt>
                <c:pt idx="52">
                  <c:v>3923.0235332677348</c:v>
                </c:pt>
                <c:pt idx="53">
                  <c:v>4033.650797251094</c:v>
                </c:pt>
                <c:pt idx="54">
                  <c:v>4031.2509571015662</c:v>
                </c:pt>
                <c:pt idx="55">
                  <c:v>4029.8843768914062</c:v>
                </c:pt>
                <c:pt idx="56">
                  <c:v>4029.5319923327929</c:v>
                </c:pt>
                <c:pt idx="57">
                  <c:v>4030.1715645676582</c:v>
                </c:pt>
                <c:pt idx="58">
                  <c:v>4031.7768941929626</c:v>
                </c:pt>
                <c:pt idx="59">
                  <c:v>4034.3166570286194</c:v>
                </c:pt>
                <c:pt idx="60">
                  <c:v>4037.7525527306716</c:v>
                </c:pt>
              </c:numCache>
            </c:numRef>
          </c:val>
          <c:smooth val="0"/>
          <c:extLst>
            <c:ext xmlns:c16="http://schemas.microsoft.com/office/drawing/2014/chart" uri="{C3380CC4-5D6E-409C-BE32-E72D297353CC}">
              <c16:uniqueId val="{00000011-80C3-458D-94FE-FDD3FB525AE5}"/>
            </c:ext>
          </c:extLst>
        </c:ser>
        <c:dLbls>
          <c:showLegendKey val="0"/>
          <c:showVal val="0"/>
          <c:showCatName val="0"/>
          <c:showSerName val="0"/>
          <c:showPercent val="0"/>
          <c:showBubbleSize val="0"/>
        </c:dLbls>
        <c:marker val="1"/>
        <c:smooth val="0"/>
        <c:axId val="385048032"/>
        <c:axId val="385026432"/>
        <c:extLst/>
      </c:lineChart>
      <c:catAx>
        <c:axId val="62124496"/>
        <c:scaling>
          <c:orientation val="minMax"/>
        </c:scaling>
        <c:delete val="0"/>
        <c:axPos val="b"/>
        <c:title>
          <c:tx>
            <c:rich>
              <a:bodyPr/>
              <a:lstStyle/>
              <a:p>
                <a:pPr>
                  <a:defRPr sz="1000"/>
                </a:pPr>
                <a:r>
                  <a:rPr lang="en-US" sz="1100" b="0">
                    <a:solidFill>
                      <a:schemeClr val="accent6">
                        <a:lumMod val="75000"/>
                      </a:schemeClr>
                    </a:solidFill>
                  </a:rPr>
                  <a:t>Summer days above </a:t>
                </a:r>
                <a:r>
                  <a:rPr lang="en-US" sz="1400">
                    <a:solidFill>
                      <a:schemeClr val="accent6">
                        <a:lumMod val="75000"/>
                      </a:schemeClr>
                    </a:solidFill>
                    <a:sym typeface="Wingdings 3" panose="05040102010807070707" pitchFamily="18" charset="2"/>
                  </a:rPr>
                  <a:t></a:t>
                </a:r>
                <a:r>
                  <a:rPr lang="en-US" sz="1400">
                    <a:solidFill>
                      <a:schemeClr val="accent6">
                        <a:lumMod val="75000"/>
                      </a:schemeClr>
                    </a:solidFill>
                  </a:rPr>
                  <a:t> </a:t>
                </a:r>
                <a:r>
                  <a:rPr lang="en-US" sz="1100">
                    <a:solidFill>
                      <a:schemeClr val="accent6">
                        <a:lumMod val="75000"/>
                      </a:schemeClr>
                    </a:solidFill>
                  </a:rPr>
                  <a:t>   </a:t>
                </a:r>
                <a:r>
                  <a:rPr lang="en-US" sz="1100"/>
                  <a:t>Fall dates &amp; colony condition below </a:t>
                </a:r>
                <a:r>
                  <a:rPr lang="en-US" sz="1400" b="1" i="0" u="none" strike="noStrike" kern="1200" baseline="0">
                    <a:solidFill>
                      <a:sysClr val="windowText" lastClr="000000"/>
                    </a:solidFill>
                    <a:sym typeface="Wingdings 3" panose="05040102010807070707" pitchFamily="18" charset="2"/>
                  </a:rPr>
                  <a:t></a:t>
                </a:r>
                <a:r>
                  <a:rPr lang="en-US" sz="1400" b="1" i="0" u="none" strike="noStrike" kern="1200" baseline="0">
                    <a:solidFill>
                      <a:sysClr val="windowText" lastClr="000000"/>
                    </a:solidFill>
                  </a:rPr>
                  <a:t> </a:t>
                </a:r>
                <a:endParaRPr lang="en-US" sz="1400"/>
              </a:p>
            </c:rich>
          </c:tx>
          <c:layout>
            <c:manualLayout>
              <c:xMode val="edge"/>
              <c:yMode val="edge"/>
              <c:x val="0.36286054270721374"/>
              <c:y val="0.79972952918654927"/>
            </c:manualLayout>
          </c:layout>
          <c:overlay val="0"/>
        </c:title>
        <c:numFmt formatCode="#,##0" sourceLinked="0"/>
        <c:majorTickMark val="none"/>
        <c:minorTickMark val="none"/>
        <c:tickLblPos val="nextTo"/>
        <c:spPr>
          <a:noFill/>
          <a:ln w="9525" cap="flat" cmpd="sng" algn="ctr">
            <a:noFill/>
            <a:round/>
          </a:ln>
          <a:effectLst/>
        </c:spPr>
        <c:txPr>
          <a:bodyPr rot="-2700000" spcFirstLastPara="1" vertOverflow="ellipsis" vert="horz" wrap="square" anchor="ctr" anchorCtr="1"/>
          <a:lstStyle/>
          <a:p>
            <a:pPr>
              <a:defRPr sz="900" b="0" i="0" u="none" strike="noStrike" kern="1200" baseline="0">
                <a:solidFill>
                  <a:schemeClr val="accent6">
                    <a:lumMod val="75000"/>
                  </a:schemeClr>
                </a:solidFill>
                <a:latin typeface="+mn-lt"/>
                <a:ea typeface="+mn-ea"/>
                <a:cs typeface="+mn-cs"/>
              </a:defRPr>
            </a:pPr>
            <a:endParaRPr lang="en-US"/>
          </a:p>
        </c:txPr>
        <c:crossAx val="62124976"/>
        <c:crosses val="autoZero"/>
        <c:auto val="1"/>
        <c:lblAlgn val="ctr"/>
        <c:lblOffset val="100"/>
        <c:noMultiLvlLbl val="0"/>
      </c:catAx>
      <c:valAx>
        <c:axId val="62124976"/>
        <c:scaling>
          <c:orientation val="minMax"/>
          <c:max val="5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r>
                  <a:rPr lang="en-US" sz="1200" b="1">
                    <a:solidFill>
                      <a:srgbClr val="C00000"/>
                    </a:solidFill>
                  </a:rPr>
                  <a:t>Mite population</a:t>
                </a:r>
                <a:r>
                  <a:rPr lang="en-US" sz="1200"/>
                  <a:t> </a:t>
                </a:r>
              </a:p>
            </c:rich>
          </c:tx>
          <c:layout>
            <c:manualLayout>
              <c:xMode val="edge"/>
              <c:yMode val="edge"/>
              <c:x val="9.1906789719245641E-3"/>
              <c:y val="0.34929716358801072"/>
            </c:manualLayout>
          </c:layout>
          <c:overlay val="0"/>
          <c:spPr>
            <a:noFill/>
            <a:ln>
              <a:noFill/>
            </a:ln>
            <a:effectLst/>
          </c:spPr>
        </c:title>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62124496"/>
        <c:crosses val="autoZero"/>
        <c:crossBetween val="between"/>
      </c:valAx>
      <c:valAx>
        <c:axId val="385026432"/>
        <c:scaling>
          <c:orientation val="minMax"/>
          <c:max val="10"/>
        </c:scaling>
        <c:delete val="1"/>
        <c:axPos val="r"/>
        <c:title>
          <c:tx>
            <c:rich>
              <a:bodyPr rot="0" spcFirstLastPara="1" vertOverflow="ellipsis" vert="horz" wrap="square" anchor="ctr" anchorCtr="1"/>
              <a:lstStyle/>
              <a:p>
                <a:pPr>
                  <a:defRPr sz="1200" b="0" i="0" u="none" strike="noStrike" kern="1200" baseline="0">
                    <a:solidFill>
                      <a:srgbClr val="00B0F0"/>
                    </a:solidFill>
                    <a:latin typeface="+mn-lt"/>
                    <a:ea typeface="+mn-ea"/>
                    <a:cs typeface="+mn-cs"/>
                  </a:defRPr>
                </a:pPr>
                <a:r>
                  <a:rPr lang="en-US" sz="1200">
                    <a:solidFill>
                      <a:srgbClr val="00B0F0"/>
                    </a:solidFill>
                  </a:rPr>
                  <a:t>Expected</a:t>
                </a:r>
                <a:r>
                  <a:rPr lang="en-US" sz="1200" baseline="0">
                    <a:solidFill>
                      <a:srgbClr val="00B0F0"/>
                    </a:solidFill>
                  </a:rPr>
                  <a:t> mit</a:t>
                </a:r>
                <a:r>
                  <a:rPr lang="en-US" sz="1200">
                    <a:solidFill>
                      <a:srgbClr val="00B0F0"/>
                    </a:solidFill>
                  </a:rPr>
                  <a:t>e wash count from </a:t>
                </a:r>
              </a:p>
              <a:p>
                <a:pPr>
                  <a:defRPr sz="1200" b="0" i="0" u="none" strike="noStrike" kern="1200" baseline="0">
                    <a:solidFill>
                      <a:srgbClr val="00B0F0"/>
                    </a:solidFill>
                    <a:latin typeface="+mn-lt"/>
                    <a:ea typeface="+mn-ea"/>
                    <a:cs typeface="+mn-cs"/>
                  </a:defRPr>
                </a:pPr>
                <a:r>
                  <a:rPr lang="en-US" sz="1200">
                    <a:solidFill>
                      <a:srgbClr val="00B0F0"/>
                    </a:solidFill>
                  </a:rPr>
                  <a:t>a half cup of bees</a:t>
                </a:r>
              </a:p>
            </c:rich>
          </c:tx>
          <c:layout>
            <c:manualLayout>
              <c:xMode val="edge"/>
              <c:yMode val="edge"/>
              <c:x val="5.1590863794993301E-2"/>
              <c:y val="5.7057211524989368E-2"/>
            </c:manualLayout>
          </c:layout>
          <c:overlay val="0"/>
          <c:spPr>
            <a:solidFill>
              <a:schemeClr val="bg1"/>
            </a:solidFill>
            <a:ln>
              <a:noFill/>
            </a:ln>
            <a:effectLst/>
          </c:spPr>
        </c:title>
        <c:numFmt formatCode="0" sourceLinked="1"/>
        <c:majorTickMark val="out"/>
        <c:minorTickMark val="none"/>
        <c:tickLblPos val="nextTo"/>
        <c:crossAx val="385048032"/>
        <c:crosses val="max"/>
        <c:crossBetween val="between"/>
      </c:valAx>
      <c:catAx>
        <c:axId val="385048032"/>
        <c:scaling>
          <c:orientation val="minMax"/>
        </c:scaling>
        <c:delete val="1"/>
        <c:axPos val="b"/>
        <c:numFmt formatCode="0" sourceLinked="1"/>
        <c:majorTickMark val="out"/>
        <c:minorTickMark val="none"/>
        <c:tickLblPos val="nextTo"/>
        <c:crossAx val="385026432"/>
        <c:crosses val="autoZero"/>
        <c:auto val="1"/>
        <c:lblAlgn val="ctr"/>
        <c:lblOffset val="100"/>
        <c:noMultiLvlLbl val="0"/>
      </c:catAx>
      <c:spPr>
        <a:noFill/>
        <a:ln>
          <a:noFill/>
        </a:ln>
        <a:effectLst/>
      </c:spPr>
    </c:plotArea>
    <c:legend>
      <c:legendPos val="l"/>
      <c:legendEntry>
        <c:idx val="0"/>
        <c:delete val="1"/>
      </c:legendEntry>
      <c:legendEntry>
        <c:idx val="1"/>
        <c:delete val="1"/>
      </c:legendEntry>
      <c:legendEntry>
        <c:idx val="4"/>
        <c:delete val="1"/>
      </c:legendEntry>
      <c:legendEntry>
        <c:idx val="5"/>
        <c:delete val="1"/>
      </c:legendEntry>
      <c:legendEntry>
        <c:idx val="6"/>
        <c:delete val="1"/>
      </c:legendEntry>
      <c:layout>
        <c:manualLayout>
          <c:xMode val="edge"/>
          <c:yMode val="edge"/>
          <c:x val="0.76923084318602897"/>
          <c:y val="2.5503050596512845E-2"/>
          <c:w val="0.21853530025432399"/>
          <c:h val="0.11964282939489695"/>
        </c:manualLayout>
      </c:layout>
      <c:overlay val="0"/>
      <c:spPr>
        <a:noFill/>
        <a:ln>
          <a:solidFill>
            <a:schemeClr val="tx1"/>
          </a:solid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solidFill>
            <a:schemeClr val="tx1"/>
          </a:solidFill>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590551</xdr:colOff>
      <xdr:row>6</xdr:row>
      <xdr:rowOff>66676</xdr:rowOff>
    </xdr:from>
    <xdr:to>
      <xdr:col>22</xdr:col>
      <xdr:colOff>647700</xdr:colOff>
      <xdr:row>38</xdr:row>
      <xdr:rowOff>95250</xdr:rowOff>
    </xdr:to>
    <xdr:graphicFrame macro="">
      <xdr:nvGraphicFramePr>
        <xdr:cNvPr id="3" name="Chart 4">
          <a:extLst>
            <a:ext uri="{FF2B5EF4-FFF2-40B4-BE49-F238E27FC236}">
              <a16:creationId xmlns:a16="http://schemas.microsoft.com/office/drawing/2014/main" id="{55E90BFE-AB5F-4429-B963-72186C662D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257175</xdr:colOff>
      <xdr:row>1</xdr:row>
      <xdr:rowOff>104773</xdr:rowOff>
    </xdr:from>
    <xdr:to>
      <xdr:col>10</xdr:col>
      <xdr:colOff>495300</xdr:colOff>
      <xdr:row>34</xdr:row>
      <xdr:rowOff>76200</xdr:rowOff>
    </xdr:to>
    <xdr:sp macro="" textlink="">
      <xdr:nvSpPr>
        <xdr:cNvPr id="8" name="TextBox 7">
          <a:extLst>
            <a:ext uri="{FF2B5EF4-FFF2-40B4-BE49-F238E27FC236}">
              <a16:creationId xmlns:a16="http://schemas.microsoft.com/office/drawing/2014/main" id="{5C98C8D1-8A0D-440B-84CC-510199F913E6}"/>
            </a:ext>
          </a:extLst>
        </xdr:cNvPr>
        <xdr:cNvSpPr txBox="1"/>
      </xdr:nvSpPr>
      <xdr:spPr>
        <a:xfrm>
          <a:off x="638175" y="295273"/>
          <a:ext cx="5695950" cy="5314952"/>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Calibri"/>
              <a:ea typeface="+mn-ea"/>
              <a:cs typeface="+mn-cs"/>
            </a:rPr>
            <a:t>Randy's Oxalic Vaporization Model</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800" b="1"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   The purpose of this model is to help you plan OAV application strategies during either summer or fall.  It cannot predict absolute values, but by holding all other variables constant, it</a:t>
          </a:r>
          <a:r>
            <a:rPr lang="en-US" sz="1100" b="0" i="0" baseline="0">
              <a:effectLst/>
              <a:latin typeface="+mn-lt"/>
              <a:ea typeface="+mn-ea"/>
              <a:cs typeface="+mn-cs"/>
            </a:rPr>
            <a:t> allows you to </a:t>
          </a:r>
          <a:r>
            <a:rPr lang="en-US" sz="1100" b="1" i="1" baseline="0">
              <a:effectLst/>
              <a:latin typeface="+mn-lt"/>
              <a:ea typeface="+mn-ea"/>
              <a:cs typeface="+mn-cs"/>
            </a:rPr>
            <a:t>compare</a:t>
          </a:r>
          <a:r>
            <a:rPr lang="en-US" sz="1100" b="0" i="0" baseline="0">
              <a:effectLst/>
              <a:latin typeface="+mn-lt"/>
              <a:ea typeface="+mn-ea"/>
              <a:cs typeface="+mn-cs"/>
            </a:rPr>
            <a:t> the projected results of different OAV application schedules.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effectLst/>
              <a:latin typeface="+mn-lt"/>
              <a:ea typeface="+mn-ea"/>
              <a:cs typeface="+mn-cs"/>
            </a:rPr>
            <a:t>   The model assumes "normal" rates of varroa reproductive success and population growth, and calculates the expected  percentages of the mite population in  the brood or on adult bees (and thus exposed to treatment), the number of  mites entering or exiting the brood each day, and the expected daily natural mite fall, as well as the number of mites killed by each inputted treatment.</a:t>
          </a:r>
        </a:p>
        <a:p>
          <a:pPr marL="0" marR="0" lvl="0" indent="0" defTabSz="914400" eaLnBrk="1" fontAlgn="auto" latinLnBrk="0" hangingPunct="1">
            <a:lnSpc>
              <a:spcPct val="100000"/>
            </a:lnSpc>
            <a:spcBef>
              <a:spcPts val="0"/>
            </a:spcBef>
            <a:spcAft>
              <a:spcPts val="0"/>
            </a:spcAft>
            <a:buClrTx/>
            <a:buSzTx/>
            <a:buFontTx/>
            <a:buNone/>
            <a:tabLst/>
            <a:defRPr/>
          </a:pPr>
          <a:endParaRPr lang="en-US" sz="800" b="0" i="0" baseline="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effectLst/>
              <a:latin typeface="+mn-lt"/>
              <a:ea typeface="+mn-ea"/>
              <a:cs typeface="+mn-cs"/>
            </a:rPr>
            <a:t>Instructions</a:t>
          </a:r>
          <a:endParaRPr lang="en-US" sz="1100" b="0" i="0" baseline="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effectLst/>
              <a:latin typeface="+mn-lt"/>
              <a:ea typeface="+mn-ea"/>
              <a:cs typeface="+mn-cs"/>
            </a:rPr>
            <a:t>   Use the four yellow cells at the top of the page to input values.  </a:t>
          </a: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effectLst/>
              <a:latin typeface="+mn-lt"/>
              <a:ea typeface="+mn-ea"/>
              <a:cs typeface="+mn-cs"/>
            </a:rPr>
            <a:t>Step 1:  </a:t>
          </a:r>
          <a:r>
            <a:rPr lang="en-US" sz="1100" b="0" i="0" baseline="0">
              <a:effectLst/>
              <a:latin typeface="+mn-lt"/>
              <a:ea typeface="+mn-ea"/>
              <a:cs typeface="+mn-cs"/>
            </a:rPr>
            <a:t>Enter either "S" or "F" for a summer or fall simulation.  </a:t>
          </a:r>
        </a:p>
        <a:p>
          <a:pPr marL="0" marR="0" lvl="0" indent="0" defTabSz="914400" eaLnBrk="1" fontAlgn="auto" latinLnBrk="0" hangingPunct="1">
            <a:lnSpc>
              <a:spcPct val="100000"/>
            </a:lnSpc>
            <a:spcBef>
              <a:spcPts val="0"/>
            </a:spcBef>
            <a:spcAft>
              <a:spcPts val="0"/>
            </a:spcAft>
            <a:buClrTx/>
            <a:buSzTx/>
            <a:buFontTx/>
            <a:buNone/>
            <a:tabLst/>
            <a:defRPr/>
          </a:pPr>
          <a:endParaRPr lang="en-US" sz="800" b="0" i="0" baseline="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effectLst/>
              <a:latin typeface="+mn-lt"/>
              <a:ea typeface="+mn-ea"/>
              <a:cs typeface="+mn-cs"/>
            </a:rPr>
            <a:t>Step 2:  </a:t>
          </a:r>
          <a:r>
            <a:rPr lang="en-US" sz="1100" b="0" i="0" baseline="0">
              <a:effectLst/>
              <a:latin typeface="+mn-lt"/>
              <a:ea typeface="+mn-ea"/>
              <a:cs typeface="+mn-cs"/>
            </a:rPr>
            <a:t>Then use the model to back-calculate the starting mite population to enter, based upon your </a:t>
          </a:r>
          <a:r>
            <a:rPr lang="en-US" sz="1100" b="0" i="0" baseline="0">
              <a:solidFill>
                <a:srgbClr val="00B0F0"/>
              </a:solidFill>
              <a:effectLst/>
              <a:latin typeface="+mn-lt"/>
              <a:ea typeface="+mn-ea"/>
              <a:cs typeface="+mn-cs"/>
            </a:rPr>
            <a:t>mite wash</a:t>
          </a:r>
          <a:r>
            <a:rPr lang="en-US" sz="1100" b="0" i="0" baseline="0">
              <a:effectLst/>
              <a:latin typeface="+mn-lt"/>
              <a:ea typeface="+mn-ea"/>
              <a:cs typeface="+mn-cs"/>
            </a:rPr>
            <a:t> or </a:t>
          </a:r>
          <a:r>
            <a:rPr lang="en-US" sz="1100" b="1" i="0" baseline="0">
              <a:effectLst/>
              <a:latin typeface="+mn-lt"/>
              <a:ea typeface="+mn-ea"/>
              <a:cs typeface="+mn-cs"/>
            </a:rPr>
            <a:t>stickyboard</a:t>
          </a:r>
          <a:r>
            <a:rPr lang="en-US" sz="1100" b="0" i="0" baseline="0">
              <a:effectLst/>
              <a:latin typeface="+mn-lt"/>
              <a:ea typeface="+mn-ea"/>
              <a:cs typeface="+mn-cs"/>
            </a:rPr>
            <a:t> counts from the field (this number is important only if you're trying to zero the infestation rate, which takes longer at higher starting mite levels).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1" baseline="0">
              <a:effectLst/>
              <a:latin typeface="+mn-lt"/>
              <a:ea typeface="+mn-ea"/>
              <a:cs typeface="+mn-cs"/>
            </a:rPr>
            <a:t>At this point, the model will graph out the projected mite increase over the next two months</a:t>
          </a:r>
          <a:r>
            <a:rPr lang="en-US" sz="1100" b="0" i="0" baseline="0">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en-US" sz="800" b="0" i="0" baseline="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effectLst/>
              <a:latin typeface="+mn-lt"/>
              <a:ea typeface="+mn-ea"/>
              <a:cs typeface="+mn-cs"/>
            </a:rPr>
            <a:t>Step 3:  </a:t>
          </a:r>
          <a:r>
            <a:rPr lang="en-US" sz="1100" b="0" i="0" baseline="0">
              <a:effectLst/>
              <a:latin typeface="+mn-lt"/>
              <a:ea typeface="+mn-ea"/>
              <a:cs typeface="+mn-cs"/>
            </a:rPr>
            <a:t>For expected efficacy, input the percent kill of the phoretic mites (the model spreads this kill over 5 days).  90 or 95 would generally be a reasonable value, unless it's really cold*.</a:t>
          </a:r>
        </a:p>
        <a:p>
          <a:pPr marL="0" marR="0" lvl="0" indent="0" defTabSz="914400" eaLnBrk="1" fontAlgn="auto" latinLnBrk="0" hangingPunct="1">
            <a:lnSpc>
              <a:spcPct val="100000"/>
            </a:lnSpc>
            <a:spcBef>
              <a:spcPts val="0"/>
            </a:spcBef>
            <a:spcAft>
              <a:spcPts val="0"/>
            </a:spcAft>
            <a:buClrTx/>
            <a:buSzTx/>
            <a:buFontTx/>
            <a:buNone/>
            <a:tabLst/>
            <a:defRPr/>
          </a:pPr>
          <a:endParaRPr lang="en-US" sz="800" b="1" i="0" baseline="0">
            <a:effectLst/>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en-US" sz="1100" b="1" i="0" baseline="0">
              <a:effectLst/>
              <a:latin typeface="+mn-lt"/>
              <a:ea typeface="+mn-ea"/>
              <a:cs typeface="+mn-cs"/>
            </a:rPr>
            <a:t>Step 4:   T</a:t>
          </a:r>
          <a:r>
            <a:rPr lang="en-US" sz="1100" b="0" i="0" baseline="0">
              <a:effectLst/>
              <a:latin typeface="+mn-lt"/>
              <a:ea typeface="+mn-ea"/>
              <a:cs typeface="+mn-cs"/>
            </a:rPr>
            <a:t>reatment interval.  Enter 4, 7, 10, 14, or "C" (for custom) for the number of days between OAV applications.  For a "custom" interval, enter the numeral "1" in Column </a:t>
          </a:r>
          <a:r>
            <a:rPr lang="en-US" sz="1100" b="1" i="0" baseline="0">
              <a:effectLst/>
              <a:latin typeface="+mn-lt"/>
              <a:ea typeface="+mn-ea"/>
              <a:cs typeface="+mn-cs"/>
            </a:rPr>
            <a:t>J</a:t>
          </a:r>
          <a:r>
            <a:rPr lang="en-US" sz="1100" b="0" i="0" baseline="0">
              <a:effectLst/>
              <a:latin typeface="+mn-lt"/>
              <a:ea typeface="+mn-ea"/>
              <a:cs typeface="+mn-cs"/>
            </a:rPr>
            <a:t> for each each date that you wish to apply a vaporization treatment.</a:t>
          </a:r>
        </a:p>
        <a:p>
          <a:pPr marL="0" marR="0" lvl="0" indent="0" defTabSz="914400" eaLnBrk="1" fontAlgn="auto" latinLnBrk="0" hangingPunct="1">
            <a:lnSpc>
              <a:spcPct val="100000"/>
            </a:lnSpc>
            <a:spcBef>
              <a:spcPts val="0"/>
            </a:spcBef>
            <a:spcAft>
              <a:spcPts val="0"/>
            </a:spcAft>
            <a:buClrTx/>
            <a:buSzTx/>
            <a:buFontTx/>
            <a:buNone/>
            <a:tabLst/>
            <a:defRPr/>
          </a:pPr>
          <a:endParaRPr lang="en-US" sz="800" b="0" i="0" baseline="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effectLst/>
              <a:latin typeface="+mn-lt"/>
              <a:ea typeface="+mn-ea"/>
              <a:cs typeface="+mn-cs"/>
            </a:rPr>
            <a:t>*Y</a:t>
          </a:r>
          <a:r>
            <a:rPr lang="en-US" sz="1100">
              <a:effectLst/>
              <a:latin typeface="+mn-lt"/>
              <a:ea typeface="+mn-ea"/>
              <a:cs typeface="+mn-cs"/>
            </a:rPr>
            <a:t>ou can determine actual efficacy for your vaporizer and conditions by taking mite-wash counts before, and 5 days after an OAV). For small colonies during a broodless period, 95% is a reasonable value (one gets diminishing returns above 85%), whereas for larger colonies, or for applications in cold weather, use a lower value.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baseline="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8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xdr:from>
      <xdr:col>8</xdr:col>
      <xdr:colOff>314325</xdr:colOff>
      <xdr:row>26</xdr:row>
      <xdr:rowOff>142875</xdr:rowOff>
    </xdr:from>
    <xdr:to>
      <xdr:col>10</xdr:col>
      <xdr:colOff>409575</xdr:colOff>
      <xdr:row>54</xdr:row>
      <xdr:rowOff>85725</xdr:rowOff>
    </xdr:to>
    <xdr:cxnSp macro="">
      <xdr:nvCxnSpPr>
        <xdr:cNvPr id="10" name="Straight Arrow Connector 9">
          <a:extLst>
            <a:ext uri="{FF2B5EF4-FFF2-40B4-BE49-F238E27FC236}">
              <a16:creationId xmlns:a16="http://schemas.microsoft.com/office/drawing/2014/main" id="{0AB86B52-042C-6E68-E8D9-7260E06C85AD}"/>
            </a:ext>
          </a:extLst>
        </xdr:cNvPr>
        <xdr:cNvCxnSpPr/>
      </xdr:nvCxnSpPr>
      <xdr:spPr>
        <a:xfrm>
          <a:off x="4962525" y="4381500"/>
          <a:ext cx="1285875" cy="49625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c:userShapes xmlns:c="http://schemas.openxmlformats.org/drawingml/2006/chart">
  <cdr:relSizeAnchor xmlns:cdr="http://schemas.openxmlformats.org/drawingml/2006/chartDrawing">
    <cdr:from>
      <cdr:x>0.0989</cdr:x>
      <cdr:y>0.1487</cdr:y>
    </cdr:from>
    <cdr:to>
      <cdr:x>0.11355</cdr:x>
      <cdr:y>0.19424</cdr:y>
    </cdr:to>
    <cdr:cxnSp macro="">
      <cdr:nvCxnSpPr>
        <cdr:cNvPr id="3" name="Straight Arrow Connector 2">
          <a:extLst xmlns:a="http://schemas.openxmlformats.org/drawingml/2006/main">
            <a:ext uri="{FF2B5EF4-FFF2-40B4-BE49-F238E27FC236}">
              <a16:creationId xmlns:a16="http://schemas.microsoft.com/office/drawing/2014/main" id="{B94E5893-EBFD-BF15-FD3A-02157E8E6A6E}"/>
            </a:ext>
          </a:extLst>
        </cdr:cNvPr>
        <cdr:cNvCxnSpPr/>
      </cdr:nvCxnSpPr>
      <cdr:spPr>
        <a:xfrm xmlns:a="http://schemas.openxmlformats.org/drawingml/2006/main" flipH="1">
          <a:off x="1028691" y="774745"/>
          <a:ext cx="152379" cy="237271"/>
        </a:xfrm>
        <a:prstGeom xmlns:a="http://schemas.openxmlformats.org/drawingml/2006/main" prst="straightConnector1">
          <a:avLst/>
        </a:prstGeom>
        <a:ln xmlns:a="http://schemas.openxmlformats.org/drawingml/2006/main" w="15875">
          <a:solidFill>
            <a:srgbClr val="00B0F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0.95918</cdr:x>
      <cdr:y>0.36092</cdr:y>
    </cdr:from>
    <cdr:to>
      <cdr:x>0.97489</cdr:x>
      <cdr:y>0.64977</cdr:y>
    </cdr:to>
    <cdr:sp macro="" textlink="">
      <cdr:nvSpPr>
        <cdr:cNvPr id="2" name="TextBox 1">
          <a:extLst xmlns:a="http://schemas.openxmlformats.org/drawingml/2006/main">
            <a:ext uri="{FF2B5EF4-FFF2-40B4-BE49-F238E27FC236}">
              <a16:creationId xmlns:a16="http://schemas.microsoft.com/office/drawing/2014/main" id="{EB99327A-B301-C20A-1FAB-D9425EE0B98F}"/>
            </a:ext>
          </a:extLst>
        </cdr:cNvPr>
        <cdr:cNvSpPr txBox="1"/>
      </cdr:nvSpPr>
      <cdr:spPr>
        <a:xfrm xmlns:a="http://schemas.openxmlformats.org/drawingml/2006/main" rot="16200000">
          <a:off x="9305931" y="2551226"/>
          <a:ext cx="1504949" cy="163398"/>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100" b="0" kern="1200"/>
            <a:t>Projected</a:t>
          </a:r>
          <a:r>
            <a:rPr lang="en-US" sz="1100" b="0" kern="1200" baseline="0"/>
            <a:t> </a:t>
          </a:r>
          <a:r>
            <a:rPr lang="en-US" sz="1100" b="1" i="1" kern="1200" baseline="0"/>
            <a:t>d</a:t>
          </a:r>
          <a:r>
            <a:rPr lang="en-US" sz="1100" b="1" i="1" kern="1200"/>
            <a:t>aily </a:t>
          </a:r>
          <a:r>
            <a:rPr lang="en-US" sz="1100" b="0" kern="1200"/>
            <a:t>mite drop</a:t>
          </a:r>
        </a:p>
      </cdr:txBody>
    </cdr:sp>
  </cdr:relSizeAnchor>
  <cdr:relSizeAnchor xmlns:cdr="http://schemas.openxmlformats.org/drawingml/2006/chartDrawing">
    <cdr:from>
      <cdr:x>0.95055</cdr:x>
      <cdr:y>0.65265</cdr:y>
    </cdr:from>
    <cdr:to>
      <cdr:x>0.96429</cdr:x>
      <cdr:y>0.69104</cdr:y>
    </cdr:to>
    <cdr:cxnSp macro="">
      <cdr:nvCxnSpPr>
        <cdr:cNvPr id="11" name="Straight Arrow Connector 10">
          <a:extLst xmlns:a="http://schemas.openxmlformats.org/drawingml/2006/main">
            <a:ext uri="{FF2B5EF4-FFF2-40B4-BE49-F238E27FC236}">
              <a16:creationId xmlns:a16="http://schemas.microsoft.com/office/drawing/2014/main" id="{5FA1A2C1-41C8-5B4D-5790-91709F4D698D}"/>
            </a:ext>
          </a:extLst>
        </cdr:cNvPr>
        <cdr:cNvCxnSpPr/>
      </cdr:nvCxnSpPr>
      <cdr:spPr>
        <a:xfrm xmlns:a="http://schemas.openxmlformats.org/drawingml/2006/main" flipH="1">
          <a:off x="9886949" y="3400424"/>
          <a:ext cx="142875" cy="200025"/>
        </a:xfrm>
        <a:prstGeom xmlns:a="http://schemas.openxmlformats.org/drawingml/2006/main" prst="straightConnector1">
          <a:avLst/>
        </a:prstGeom>
        <a:ln xmlns:a="http://schemas.openxmlformats.org/drawingml/2006/main">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0.97436</cdr:x>
      <cdr:y>0.33042</cdr:y>
    </cdr:from>
    <cdr:to>
      <cdr:x>0.99634</cdr:x>
      <cdr:y>0.75732</cdr:y>
    </cdr:to>
    <cdr:pic>
      <cdr:nvPicPr>
        <cdr:cNvPr id="16" name="chart">
          <a:extLst xmlns:a="http://schemas.openxmlformats.org/drawingml/2006/main">
            <a:ext uri="{FF2B5EF4-FFF2-40B4-BE49-F238E27FC236}">
              <a16:creationId xmlns:a16="http://schemas.microsoft.com/office/drawing/2014/main" id="{FC7EF6F1-94DE-AFED-C1E5-E6049132DBD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rot="16200000">
          <a:off x="9136777" y="2719354"/>
          <a:ext cx="2224223" cy="228621"/>
        </a:xfrm>
        <a:prstGeom xmlns:a="http://schemas.openxmlformats.org/drawingml/2006/main" prst="rect">
          <a:avLst/>
        </a:prstGeom>
      </cdr:spPr>
    </cdr:pic>
  </cdr:relSizeAnchor>
  <cdr:relSizeAnchor xmlns:cdr="http://schemas.openxmlformats.org/drawingml/2006/chartDrawing">
    <cdr:from>
      <cdr:x>0.04945</cdr:x>
      <cdr:y>0.84459</cdr:y>
    </cdr:from>
    <cdr:to>
      <cdr:x>0.92857</cdr:x>
      <cdr:y>1</cdr:y>
    </cdr:to>
    <cdr:pic>
      <cdr:nvPicPr>
        <cdr:cNvPr id="12" name="chart">
          <a:extLst xmlns:a="http://schemas.openxmlformats.org/drawingml/2006/main">
            <a:ext uri="{FF2B5EF4-FFF2-40B4-BE49-F238E27FC236}">
              <a16:creationId xmlns:a16="http://schemas.microsoft.com/office/drawing/2014/main" id="{9CF66CF1-308E-F3A2-19F3-AB4DC137D57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stretch xmlns:a="http://schemas.openxmlformats.org/drawingml/2006/main">
          <a:fillRect/>
        </a:stretch>
      </cdr:blipFill>
      <cdr:spPr>
        <a:xfrm xmlns:a="http://schemas.openxmlformats.org/drawingml/2006/main">
          <a:off x="514350" y="4400436"/>
          <a:ext cx="9143999" cy="809738"/>
        </a:xfrm>
        <a:prstGeom xmlns:a="http://schemas.openxmlformats.org/drawingml/2006/main" prst="rect">
          <a:avLst/>
        </a:prstGeom>
        <a:ln xmlns:a="http://schemas.openxmlformats.org/drawingml/2006/main">
          <a:solidFill>
            <a:sysClr val="windowText" lastClr="000000"/>
          </a:solidFill>
        </a:ln>
      </cdr:spPr>
    </cdr:pic>
  </cdr:relSizeAnchor>
  <cdr:relSizeAnchor xmlns:cdr="http://schemas.openxmlformats.org/drawingml/2006/chartDrawing">
    <cdr:from>
      <cdr:x>0.06319</cdr:x>
      <cdr:y>0.75503</cdr:y>
    </cdr:from>
    <cdr:to>
      <cdr:x>0.94597</cdr:x>
      <cdr:y>0.79707</cdr:y>
    </cdr:to>
    <cdr:sp macro="" textlink="">
      <cdr:nvSpPr>
        <cdr:cNvPr id="13" name="Rectangle 12">
          <a:extLst xmlns:a="http://schemas.openxmlformats.org/drawingml/2006/main">
            <a:ext uri="{FF2B5EF4-FFF2-40B4-BE49-F238E27FC236}">
              <a16:creationId xmlns:a16="http://schemas.microsoft.com/office/drawing/2014/main" id="{F5D18272-B70A-A2E2-AEA4-C1E3982FB908}"/>
            </a:ext>
          </a:extLst>
        </cdr:cNvPr>
        <cdr:cNvSpPr/>
      </cdr:nvSpPr>
      <cdr:spPr>
        <a:xfrm xmlns:a="http://schemas.openxmlformats.org/drawingml/2006/main">
          <a:off x="657224" y="3933824"/>
          <a:ext cx="9182100" cy="219075"/>
        </a:xfrm>
        <a:prstGeom xmlns:a="http://schemas.openxmlformats.org/drawingml/2006/main" prst="rect">
          <a:avLst/>
        </a:prstGeom>
        <a:noFill xmlns:a="http://schemas.openxmlformats.org/drawingml/2006/main"/>
        <a:ln xmlns:a="http://schemas.openxmlformats.org/drawingml/2006/main" w="6350">
          <a:solidFill>
            <a:schemeClr val="accent6">
              <a:lumMod val="75000"/>
            </a:schemeClr>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kern="1200"/>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73928-0B9C-4131-8B2E-9EFDDF6D3683}">
  <dimension ref="B1:BJ114"/>
  <sheetViews>
    <sheetView showGridLines="0" tabSelected="1" zoomScaleNormal="100" workbookViewId="0">
      <selection activeCell="H37" sqref="H37"/>
    </sheetView>
  </sheetViews>
  <sheetFormatPr defaultRowHeight="12.75" x14ac:dyDescent="0.2"/>
  <cols>
    <col min="1" max="1" width="5.7109375" customWidth="1"/>
    <col min="9" max="9" width="10.7109375" customWidth="1"/>
    <col min="10" max="10" width="7.140625" bestFit="1" customWidth="1"/>
    <col min="11" max="11" width="15.5703125" customWidth="1"/>
    <col min="13" max="15" width="10.7109375" customWidth="1"/>
    <col min="16" max="16" width="14.5703125" customWidth="1"/>
    <col min="17" max="20" width="15.5703125" customWidth="1"/>
    <col min="21" max="23" width="10.7109375" style="1" customWidth="1"/>
    <col min="24" max="24" width="12.5703125" style="1" customWidth="1"/>
    <col min="25" max="35" width="10.7109375" style="1" customWidth="1"/>
    <col min="36" max="36" width="10.7109375" style="2" customWidth="1"/>
    <col min="37" max="39" width="10.7109375" style="1" customWidth="1"/>
    <col min="45" max="45" width="12.5703125" customWidth="1"/>
    <col min="48" max="48" width="15.5703125" customWidth="1"/>
    <col min="49" max="49" width="10.7109375" customWidth="1"/>
    <col min="50" max="50" width="12.5703125" customWidth="1"/>
    <col min="56" max="58" width="10.7109375" customWidth="1"/>
    <col min="61" max="61" width="9.5703125" customWidth="1"/>
  </cols>
  <sheetData>
    <row r="1" spans="2:39" ht="15" x14ac:dyDescent="0.25">
      <c r="L1" s="84" t="s">
        <v>54</v>
      </c>
    </row>
    <row r="2" spans="2:39" x14ac:dyDescent="0.2">
      <c r="L2" s="102" t="s">
        <v>0</v>
      </c>
      <c r="M2" s="102"/>
    </row>
    <row r="3" spans="2:39" ht="13.15" customHeight="1" x14ac:dyDescent="0.2">
      <c r="L3" s="3" t="s">
        <v>1</v>
      </c>
      <c r="M3" s="80" t="s">
        <v>63</v>
      </c>
      <c r="N3" s="4" t="s">
        <v>2</v>
      </c>
    </row>
    <row r="4" spans="2:39" ht="12.75" customHeight="1" x14ac:dyDescent="0.2">
      <c r="L4" s="3" t="s">
        <v>4</v>
      </c>
      <c r="M4" s="80">
        <v>2000</v>
      </c>
      <c r="N4" s="4" t="s">
        <v>5</v>
      </c>
    </row>
    <row r="5" spans="2:39" ht="13.15" customHeight="1" x14ac:dyDescent="0.2">
      <c r="L5" s="3" t="s">
        <v>8</v>
      </c>
      <c r="M5" s="82"/>
      <c r="N5" s="9" t="s">
        <v>53</v>
      </c>
      <c r="AL5"/>
      <c r="AM5"/>
    </row>
    <row r="6" spans="2:39" ht="13.15" customHeight="1" x14ac:dyDescent="0.2">
      <c r="L6" s="3" t="s">
        <v>6</v>
      </c>
      <c r="M6" s="81"/>
      <c r="N6" s="4" t="s">
        <v>7</v>
      </c>
      <c r="O6" s="10"/>
      <c r="P6" s="10"/>
      <c r="Q6" s="10"/>
      <c r="R6" s="10"/>
      <c r="S6" s="10"/>
      <c r="T6" s="10"/>
      <c r="U6" s="10"/>
      <c r="AL6"/>
      <c r="AM6"/>
    </row>
    <row r="7" spans="2:39" x14ac:dyDescent="0.2">
      <c r="AL7"/>
      <c r="AM7"/>
    </row>
    <row r="8" spans="2:39" ht="12.75" customHeight="1" x14ac:dyDescent="0.2">
      <c r="U8"/>
      <c r="AF8"/>
      <c r="AG8"/>
      <c r="AH8"/>
      <c r="AI8"/>
      <c r="AL8"/>
      <c r="AM8"/>
    </row>
    <row r="9" spans="2:39" ht="12.75" customHeight="1" x14ac:dyDescent="0.2">
      <c r="AF9"/>
      <c r="AG9"/>
      <c r="AH9"/>
      <c r="AI9"/>
      <c r="AL9"/>
      <c r="AM9"/>
    </row>
    <row r="10" spans="2:39" ht="12.75" customHeight="1" x14ac:dyDescent="0.2">
      <c r="U10" s="11"/>
      <c r="AF10"/>
      <c r="AG10"/>
      <c r="AH10"/>
      <c r="AI10"/>
      <c r="AL10"/>
      <c r="AM10"/>
    </row>
    <row r="11" spans="2:39" x14ac:dyDescent="0.2">
      <c r="V11"/>
      <c r="W11"/>
      <c r="AF11"/>
      <c r="AG11"/>
      <c r="AH11"/>
      <c r="AI11"/>
      <c r="AL11"/>
      <c r="AM11"/>
    </row>
    <row r="12" spans="2:39" x14ac:dyDescent="0.2">
      <c r="V12"/>
      <c r="W12"/>
      <c r="AF12"/>
      <c r="AG12"/>
      <c r="AH12"/>
      <c r="AI12"/>
      <c r="AL12"/>
      <c r="AM12"/>
    </row>
    <row r="13" spans="2:39" x14ac:dyDescent="0.2">
      <c r="B13" s="12"/>
      <c r="C13" s="12"/>
      <c r="D13" s="13"/>
      <c r="E13" s="14"/>
      <c r="I13" t="s">
        <v>9</v>
      </c>
      <c r="V13"/>
      <c r="W13"/>
      <c r="AF13"/>
      <c r="AG13"/>
      <c r="AH13"/>
      <c r="AI13"/>
      <c r="AL13"/>
      <c r="AM13"/>
    </row>
    <row r="14" spans="2:39" x14ac:dyDescent="0.2">
      <c r="B14" s="12"/>
      <c r="C14" s="12"/>
      <c r="D14" s="13"/>
      <c r="E14" s="14"/>
      <c r="I14" t="s">
        <v>9</v>
      </c>
      <c r="V14"/>
      <c r="W14"/>
      <c r="X14"/>
      <c r="Y14"/>
      <c r="Z14"/>
      <c r="AA14"/>
      <c r="AB14"/>
      <c r="AC14"/>
      <c r="AD14"/>
      <c r="AE14"/>
      <c r="AF14"/>
      <c r="AG14"/>
      <c r="AH14"/>
      <c r="AI14"/>
      <c r="AL14"/>
      <c r="AM14"/>
    </row>
    <row r="15" spans="2:39" x14ac:dyDescent="0.2">
      <c r="B15" s="12"/>
      <c r="C15" s="12"/>
      <c r="D15" s="13"/>
      <c r="E15" s="14"/>
      <c r="I15" t="s">
        <v>9</v>
      </c>
      <c r="V15"/>
      <c r="W15"/>
      <c r="X15"/>
      <c r="Y15"/>
      <c r="Z15"/>
      <c r="AA15"/>
      <c r="AB15"/>
      <c r="AC15"/>
      <c r="AD15"/>
      <c r="AE15"/>
      <c r="AF15"/>
      <c r="AG15"/>
      <c r="AH15"/>
      <c r="AI15"/>
      <c r="AL15"/>
      <c r="AM15"/>
    </row>
    <row r="16" spans="2:39" x14ac:dyDescent="0.2">
      <c r="B16" s="12"/>
      <c r="C16" s="12"/>
      <c r="D16" s="13"/>
      <c r="E16" s="14"/>
      <c r="I16" t="s">
        <v>9</v>
      </c>
      <c r="V16"/>
      <c r="W16"/>
      <c r="X16"/>
      <c r="Y16"/>
      <c r="Z16"/>
      <c r="AA16"/>
      <c r="AB16"/>
      <c r="AC16"/>
      <c r="AD16"/>
      <c r="AE16"/>
      <c r="AF16"/>
      <c r="AG16"/>
      <c r="AH16"/>
      <c r="AI16"/>
      <c r="AL16"/>
      <c r="AM16"/>
    </row>
    <row r="17" spans="2:39" x14ac:dyDescent="0.2">
      <c r="B17" s="12"/>
      <c r="C17" s="12"/>
      <c r="D17" s="13"/>
      <c r="E17" s="14"/>
      <c r="V17"/>
      <c r="W17"/>
      <c r="X17"/>
      <c r="Y17"/>
      <c r="Z17"/>
      <c r="AA17"/>
      <c r="AB17"/>
      <c r="AC17"/>
      <c r="AD17"/>
      <c r="AE17"/>
      <c r="AF17"/>
      <c r="AG17"/>
      <c r="AH17"/>
      <c r="AI17"/>
      <c r="AL17"/>
      <c r="AM17"/>
    </row>
    <row r="18" spans="2:39" x14ac:dyDescent="0.2">
      <c r="C18" s="12"/>
      <c r="D18" s="13"/>
      <c r="E18" s="15"/>
      <c r="F18" s="15"/>
      <c r="V18"/>
      <c r="W18"/>
      <c r="X18"/>
      <c r="Y18"/>
      <c r="Z18"/>
      <c r="AA18"/>
      <c r="AB18"/>
      <c r="AC18"/>
      <c r="AD18"/>
      <c r="AE18"/>
      <c r="AF18"/>
      <c r="AG18"/>
      <c r="AH18"/>
      <c r="AI18"/>
      <c r="AL18"/>
      <c r="AM18"/>
    </row>
    <row r="19" spans="2:39" x14ac:dyDescent="0.2">
      <c r="C19" s="16"/>
      <c r="D19" s="17"/>
      <c r="E19" s="18"/>
      <c r="F19" s="18"/>
      <c r="G19" s="19"/>
      <c r="H19" s="11"/>
      <c r="I19" s="19"/>
      <c r="J19" s="19"/>
      <c r="V19"/>
      <c r="W19"/>
      <c r="X19"/>
      <c r="Y19"/>
      <c r="Z19"/>
      <c r="AA19"/>
      <c r="AB19"/>
      <c r="AC19"/>
      <c r="AD19"/>
      <c r="AE19"/>
      <c r="AF19"/>
      <c r="AG19"/>
      <c r="AH19"/>
      <c r="AI19"/>
      <c r="AL19"/>
      <c r="AM19"/>
    </row>
    <row r="20" spans="2:39" x14ac:dyDescent="0.2">
      <c r="C20" s="16"/>
      <c r="D20" s="17"/>
      <c r="E20" s="18"/>
      <c r="F20" s="18"/>
      <c r="G20" s="19"/>
      <c r="H20" s="11"/>
      <c r="I20" s="19"/>
      <c r="J20" s="19"/>
      <c r="V20"/>
      <c r="W20"/>
      <c r="Y20"/>
      <c r="Z20"/>
      <c r="AA20"/>
      <c r="AB20"/>
      <c r="AC20"/>
      <c r="AD20"/>
      <c r="AE20"/>
      <c r="AF20"/>
      <c r="AG20"/>
      <c r="AH20"/>
      <c r="AI20"/>
      <c r="AL20"/>
      <c r="AM20"/>
    </row>
    <row r="21" spans="2:39" x14ac:dyDescent="0.2">
      <c r="C21" s="16"/>
      <c r="D21" s="17"/>
      <c r="E21" s="18"/>
      <c r="F21" s="18"/>
      <c r="G21" s="19"/>
      <c r="H21" s="11"/>
      <c r="I21" s="19"/>
      <c r="J21" s="19"/>
      <c r="V21"/>
      <c r="W21"/>
      <c r="X21"/>
      <c r="Y21"/>
      <c r="Z21"/>
      <c r="AA21"/>
      <c r="AB21"/>
      <c r="AC21"/>
      <c r="AD21"/>
      <c r="AE21"/>
      <c r="AF21"/>
      <c r="AG21"/>
      <c r="AH21"/>
      <c r="AI21"/>
      <c r="AL21"/>
      <c r="AM21"/>
    </row>
    <row r="22" spans="2:39" x14ac:dyDescent="0.2">
      <c r="C22" s="16"/>
      <c r="D22" s="17"/>
      <c r="E22" s="18"/>
      <c r="F22" s="18"/>
      <c r="G22" s="19"/>
      <c r="H22" s="11"/>
      <c r="I22" s="19"/>
      <c r="J22" s="19"/>
      <c r="V22"/>
      <c r="W22"/>
      <c r="X22"/>
      <c r="Y22"/>
      <c r="Z22"/>
      <c r="AA22"/>
      <c r="AB22"/>
      <c r="AC22"/>
      <c r="AD22"/>
      <c r="AE22"/>
      <c r="AF22"/>
      <c r="AG22"/>
      <c r="AH22"/>
      <c r="AI22"/>
      <c r="AL22"/>
      <c r="AM22"/>
    </row>
    <row r="23" spans="2:39" x14ac:dyDescent="0.2">
      <c r="C23" s="16"/>
      <c r="D23" s="17"/>
      <c r="E23" s="18"/>
      <c r="F23" s="18"/>
      <c r="G23" s="19"/>
      <c r="H23" s="11"/>
      <c r="I23" s="19"/>
      <c r="J23" s="19"/>
      <c r="V23"/>
      <c r="W23"/>
      <c r="X23"/>
      <c r="Y23"/>
      <c r="Z23"/>
      <c r="AA23"/>
      <c r="AB23"/>
      <c r="AC23"/>
      <c r="AD23"/>
      <c r="AE23"/>
      <c r="AF23"/>
      <c r="AG23"/>
      <c r="AH23"/>
      <c r="AI23"/>
      <c r="AL23"/>
      <c r="AM23"/>
    </row>
    <row r="24" spans="2:39" x14ac:dyDescent="0.2">
      <c r="B24" s="12"/>
      <c r="C24" s="12"/>
      <c r="D24" s="13"/>
      <c r="E24" s="14"/>
      <c r="G24" s="20"/>
      <c r="H24" s="11"/>
      <c r="I24" s="21"/>
      <c r="J24" s="20"/>
      <c r="V24"/>
      <c r="W24"/>
      <c r="X24"/>
      <c r="Y24"/>
      <c r="Z24"/>
      <c r="AA24"/>
      <c r="AB24"/>
      <c r="AC24"/>
      <c r="AD24"/>
      <c r="AE24"/>
      <c r="AF24"/>
      <c r="AG24"/>
      <c r="AH24"/>
      <c r="AI24"/>
      <c r="AL24"/>
      <c r="AM24"/>
    </row>
    <row r="25" spans="2:39" x14ac:dyDescent="0.2">
      <c r="B25" s="12"/>
      <c r="V25"/>
      <c r="W25"/>
      <c r="X25"/>
      <c r="Y25"/>
      <c r="Z25"/>
      <c r="AA25"/>
      <c r="AB25"/>
      <c r="AC25"/>
      <c r="AD25"/>
      <c r="AE25"/>
      <c r="AF25"/>
      <c r="AG25"/>
      <c r="AH25"/>
      <c r="AI25"/>
      <c r="AL25"/>
      <c r="AM25"/>
    </row>
    <row r="26" spans="2:39" x14ac:dyDescent="0.2">
      <c r="B26" s="12"/>
      <c r="V26"/>
      <c r="W26"/>
      <c r="X26"/>
      <c r="Y26"/>
      <c r="Z26"/>
      <c r="AA26"/>
      <c r="AB26"/>
      <c r="AC26"/>
      <c r="AD26"/>
      <c r="AE26"/>
      <c r="AF26"/>
      <c r="AG26"/>
      <c r="AH26"/>
      <c r="AI26"/>
      <c r="AL26"/>
      <c r="AM26"/>
    </row>
    <row r="27" spans="2:39" x14ac:dyDescent="0.2">
      <c r="B27" s="12"/>
      <c r="V27"/>
      <c r="W27"/>
      <c r="X27"/>
      <c r="Y27"/>
      <c r="Z27"/>
      <c r="AA27"/>
      <c r="AB27"/>
      <c r="AC27"/>
      <c r="AD27"/>
      <c r="AE27"/>
      <c r="AF27"/>
      <c r="AG27"/>
      <c r="AH27"/>
      <c r="AI27"/>
      <c r="AL27"/>
      <c r="AM27"/>
    </row>
    <row r="28" spans="2:39" x14ac:dyDescent="0.2">
      <c r="B28" s="12"/>
      <c r="V28"/>
      <c r="W28"/>
      <c r="X28"/>
      <c r="Y28"/>
      <c r="Z28"/>
      <c r="AA28"/>
      <c r="AB28"/>
      <c r="AC28"/>
      <c r="AD28"/>
      <c r="AE28"/>
      <c r="AF28"/>
      <c r="AG28"/>
      <c r="AH28"/>
      <c r="AI28"/>
      <c r="AL28"/>
      <c r="AM28"/>
    </row>
    <row r="29" spans="2:39" x14ac:dyDescent="0.2">
      <c r="B29" s="12"/>
      <c r="V29"/>
      <c r="W29"/>
      <c r="X29"/>
      <c r="Y29"/>
      <c r="Z29"/>
      <c r="AA29"/>
      <c r="AB29"/>
      <c r="AC29"/>
      <c r="AD29"/>
      <c r="AE29"/>
      <c r="AF29"/>
      <c r="AG29"/>
      <c r="AH29"/>
      <c r="AI29"/>
      <c r="AL29"/>
      <c r="AM29"/>
    </row>
    <row r="30" spans="2:39" x14ac:dyDescent="0.2">
      <c r="B30" s="12"/>
      <c r="V30"/>
      <c r="W30"/>
      <c r="X30"/>
      <c r="Y30"/>
      <c r="Z30"/>
      <c r="AA30"/>
      <c r="AB30"/>
      <c r="AC30"/>
      <c r="AD30"/>
      <c r="AE30"/>
      <c r="AF30"/>
      <c r="AG30"/>
      <c r="AH30"/>
      <c r="AI30"/>
      <c r="AL30"/>
      <c r="AM30"/>
    </row>
    <row r="31" spans="2:39" x14ac:dyDescent="0.2">
      <c r="B31" s="12"/>
      <c r="C31" s="12"/>
      <c r="D31" s="13"/>
      <c r="E31" s="14"/>
      <c r="V31"/>
      <c r="W31"/>
      <c r="X31"/>
      <c r="Y31"/>
      <c r="Z31"/>
      <c r="AA31"/>
      <c r="AB31"/>
      <c r="AC31"/>
      <c r="AD31"/>
      <c r="AE31"/>
      <c r="AF31"/>
      <c r="AG31"/>
      <c r="AH31"/>
      <c r="AI31"/>
      <c r="AL31"/>
      <c r="AM31"/>
    </row>
    <row r="32" spans="2:39" x14ac:dyDescent="0.2">
      <c r="B32" s="12"/>
      <c r="C32" s="12"/>
      <c r="D32" s="13"/>
      <c r="E32" s="14"/>
      <c r="V32"/>
      <c r="W32"/>
      <c r="X32"/>
      <c r="Y32"/>
      <c r="Z32"/>
      <c r="AA32"/>
      <c r="AB32"/>
      <c r="AC32"/>
      <c r="AD32"/>
      <c r="AE32"/>
      <c r="AF32"/>
      <c r="AG32"/>
      <c r="AH32"/>
      <c r="AI32"/>
      <c r="AL32"/>
      <c r="AM32"/>
    </row>
    <row r="33" spans="2:62" x14ac:dyDescent="0.2">
      <c r="B33" s="12"/>
      <c r="C33" s="12"/>
      <c r="D33" s="13"/>
      <c r="E33" s="14"/>
      <c r="V33"/>
      <c r="W33"/>
      <c r="X33"/>
      <c r="Y33"/>
      <c r="Z33"/>
      <c r="AA33"/>
      <c r="AB33"/>
      <c r="AC33"/>
      <c r="AD33"/>
      <c r="AE33"/>
      <c r="AF33"/>
      <c r="AG33"/>
      <c r="AH33"/>
      <c r="AI33"/>
      <c r="AL33"/>
      <c r="AM33"/>
    </row>
    <row r="34" spans="2:62" x14ac:dyDescent="0.2">
      <c r="B34" s="12"/>
      <c r="V34"/>
      <c r="W34"/>
      <c r="X34"/>
      <c r="Y34"/>
      <c r="Z34"/>
      <c r="AA34"/>
      <c r="AB34"/>
      <c r="AC34"/>
      <c r="AD34"/>
      <c r="AE34"/>
      <c r="AF34"/>
      <c r="AG34"/>
      <c r="AH34"/>
      <c r="AI34"/>
      <c r="AL34"/>
      <c r="AM34"/>
    </row>
    <row r="35" spans="2:62" x14ac:dyDescent="0.2">
      <c r="B35" s="12"/>
      <c r="V35"/>
      <c r="W35"/>
      <c r="X35"/>
      <c r="Y35"/>
      <c r="Z35"/>
      <c r="AA35"/>
      <c r="AB35"/>
      <c r="AC35"/>
      <c r="AD35"/>
      <c r="AE35"/>
      <c r="AF35"/>
      <c r="AG35"/>
      <c r="AH35"/>
      <c r="AI35"/>
      <c r="AL35"/>
      <c r="AM35"/>
    </row>
    <row r="36" spans="2:62" x14ac:dyDescent="0.2">
      <c r="B36" s="12"/>
      <c r="V36"/>
      <c r="W36"/>
      <c r="X36"/>
      <c r="Y36"/>
      <c r="Z36"/>
      <c r="AA36"/>
      <c r="AB36"/>
      <c r="AC36"/>
      <c r="AD36"/>
      <c r="AE36"/>
      <c r="AF36"/>
      <c r="AG36"/>
      <c r="AH36"/>
      <c r="AI36"/>
      <c r="AL36"/>
      <c r="AM36"/>
    </row>
    <row r="37" spans="2:62" x14ac:dyDescent="0.2">
      <c r="B37" s="12"/>
      <c r="C37" s="1"/>
      <c r="E37" s="1"/>
      <c r="V37"/>
      <c r="W37"/>
      <c r="X37"/>
      <c r="Y37"/>
      <c r="Z37"/>
      <c r="AA37"/>
      <c r="AB37"/>
      <c r="AC37"/>
      <c r="AD37"/>
      <c r="AE37"/>
      <c r="AF37"/>
      <c r="AG37"/>
      <c r="AH37"/>
      <c r="AI37"/>
      <c r="AL37"/>
      <c r="AM37"/>
    </row>
    <row r="38" spans="2:62" ht="13.15" customHeight="1" x14ac:dyDescent="0.2">
      <c r="AC38"/>
      <c r="AD38"/>
      <c r="AE38"/>
      <c r="AF38"/>
      <c r="AG38"/>
      <c r="AH38"/>
      <c r="AI38"/>
      <c r="AL38"/>
      <c r="AM38"/>
    </row>
    <row r="39" spans="2:62" ht="13.15" customHeight="1" x14ac:dyDescent="0.2">
      <c r="AC39"/>
      <c r="AD39"/>
      <c r="AE39"/>
      <c r="AF39"/>
      <c r="AG39"/>
      <c r="AH39"/>
      <c r="AI39"/>
      <c r="AL39"/>
      <c r="AM39"/>
    </row>
    <row r="40" spans="2:62" ht="13.15" customHeight="1" x14ac:dyDescent="0.2">
      <c r="AC40"/>
      <c r="AD40"/>
      <c r="AE40"/>
      <c r="AF40"/>
      <c r="AG40"/>
      <c r="AH40"/>
      <c r="AI40"/>
      <c r="AL40"/>
      <c r="AM40"/>
      <c r="AS40" s="94" t="s">
        <v>10</v>
      </c>
      <c r="AT40" s="94"/>
      <c r="AU40" s="94"/>
      <c r="AV40" s="94"/>
      <c r="AW40" s="94"/>
      <c r="AX40" s="92" t="s">
        <v>59</v>
      </c>
      <c r="AY40" s="93"/>
      <c r="AZ40" s="93"/>
      <c r="BA40" s="93"/>
      <c r="BB40" s="93"/>
      <c r="BC40" s="93"/>
      <c r="BD40" s="93"/>
      <c r="BE40" s="93"/>
      <c r="BF40" s="93"/>
    </row>
    <row r="41" spans="2:62" s="1" customFormat="1" ht="51" customHeight="1" x14ac:dyDescent="0.2">
      <c r="B41" s="108" t="s">
        <v>3</v>
      </c>
      <c r="C41" s="109"/>
      <c r="D41" s="110">
        <v>35000</v>
      </c>
      <c r="E41" s="112" t="s">
        <v>60</v>
      </c>
      <c r="F41" s="113"/>
      <c r="G41" s="113"/>
      <c r="H41" s="114"/>
      <c r="I41"/>
      <c r="J41" s="23" t="s">
        <v>11</v>
      </c>
      <c r="K41" s="95" t="s">
        <v>12</v>
      </c>
      <c r="L41" s="24" t="s">
        <v>13</v>
      </c>
      <c r="M41" s="24" t="s">
        <v>14</v>
      </c>
      <c r="N41" s="25" t="s">
        <v>15</v>
      </c>
      <c r="O41" s="26" t="s">
        <v>16</v>
      </c>
      <c r="P41" s="26" t="s">
        <v>17</v>
      </c>
      <c r="Q41" s="26" t="s">
        <v>17</v>
      </c>
      <c r="R41" s="26" t="s">
        <v>17</v>
      </c>
      <c r="S41" s="26" t="s">
        <v>17</v>
      </c>
      <c r="T41" s="26" t="s">
        <v>17</v>
      </c>
      <c r="U41" s="25" t="s">
        <v>18</v>
      </c>
      <c r="V41" s="27" t="s">
        <v>19</v>
      </c>
      <c r="W41" s="27" t="s">
        <v>20</v>
      </c>
      <c r="X41" s="27" t="s">
        <v>21</v>
      </c>
      <c r="Y41" s="27" t="s">
        <v>22</v>
      </c>
      <c r="Z41" s="24" t="s">
        <v>23</v>
      </c>
      <c r="AA41" s="24" t="s">
        <v>24</v>
      </c>
      <c r="AB41" s="27" t="s">
        <v>25</v>
      </c>
      <c r="AC41" s="24" t="s">
        <v>26</v>
      </c>
      <c r="AD41" s="28" t="s">
        <v>27</v>
      </c>
      <c r="AE41" s="24" t="s">
        <v>28</v>
      </c>
      <c r="AF41" s="28" t="s">
        <v>29</v>
      </c>
      <c r="AG41" s="29" t="s">
        <v>30</v>
      </c>
      <c r="AH41" s="29" t="s">
        <v>31</v>
      </c>
      <c r="AI41" s="28" t="s">
        <v>32</v>
      </c>
      <c r="AJ41" s="30" t="s">
        <v>33</v>
      </c>
      <c r="AK41" s="5" t="s">
        <v>34</v>
      </c>
      <c r="AL41" s="24" t="s">
        <v>11</v>
      </c>
      <c r="AM41" s="26" t="s">
        <v>35</v>
      </c>
      <c r="AN41" s="26" t="s">
        <v>36</v>
      </c>
      <c r="AO41" s="26" t="s">
        <v>37</v>
      </c>
      <c r="AP41" s="26" t="s">
        <v>38</v>
      </c>
      <c r="AQ41" s="26" t="s">
        <v>39</v>
      </c>
      <c r="AR41" s="26" t="s">
        <v>40</v>
      </c>
      <c r="AS41" s="31" t="s">
        <v>41</v>
      </c>
      <c r="AT41" s="31" t="s">
        <v>42</v>
      </c>
      <c r="AU41" s="31" t="s">
        <v>43</v>
      </c>
      <c r="AV41" s="31" t="s">
        <v>44</v>
      </c>
      <c r="AW41" s="31" t="s">
        <v>45</v>
      </c>
      <c r="AX41" s="32" t="s">
        <v>41</v>
      </c>
      <c r="AY41" s="32" t="s">
        <v>42</v>
      </c>
      <c r="AZ41" s="32" t="s">
        <v>43</v>
      </c>
      <c r="BA41" s="32" t="s">
        <v>46</v>
      </c>
      <c r="BB41" s="32" t="s">
        <v>47</v>
      </c>
      <c r="BC41" s="32" t="s">
        <v>48</v>
      </c>
      <c r="BD41" s="32" t="s">
        <v>45</v>
      </c>
      <c r="BE41" s="32" t="s">
        <v>55</v>
      </c>
      <c r="BF41" s="32"/>
      <c r="BG41" s="24" t="s">
        <v>58</v>
      </c>
      <c r="BH41"/>
      <c r="BI41"/>
      <c r="BJ41"/>
    </row>
    <row r="42" spans="2:62" ht="12.75" customHeight="1" x14ac:dyDescent="0.2">
      <c r="D42" s="111">
        <v>1.4</v>
      </c>
      <c r="E42" s="6" t="s">
        <v>61</v>
      </c>
      <c r="F42" s="7"/>
      <c r="G42" s="7"/>
      <c r="H42" s="107"/>
      <c r="J42" s="33">
        <v>-12</v>
      </c>
      <c r="K42" s="96"/>
      <c r="L42" s="34">
        <f>IF(M3="s",M4*I52,M4*I53)</f>
        <v>1672.4</v>
      </c>
      <c r="M42" s="35">
        <f t="shared" ref="M42:M105" si="0">IF($M$3="S",AW42,IF($M$3="F",BD42))</f>
        <v>10.150018146228678</v>
      </c>
      <c r="N42" s="36">
        <f t="shared" ref="N42" si="1">L42*(M42/(M42+12))</f>
        <v>766.36011021250704</v>
      </c>
      <c r="O42" s="37"/>
      <c r="P42" s="8">
        <v>0.5</v>
      </c>
      <c r="Q42" s="38">
        <v>0.25</v>
      </c>
      <c r="R42" s="38">
        <v>0.15</v>
      </c>
      <c r="S42" s="38">
        <v>0.1</v>
      </c>
      <c r="T42" s="38">
        <v>0.05</v>
      </c>
      <c r="U42" s="39">
        <f>N42</f>
        <v>766.36011021250704</v>
      </c>
      <c r="V42" s="40">
        <f t="shared" ref="V42" si="2">L42-N42</f>
        <v>906.03988978749305</v>
      </c>
      <c r="W42" s="40">
        <f t="shared" ref="W42:W105" si="3">U42/M42</f>
        <v>75.503324148957745</v>
      </c>
      <c r="X42" s="41">
        <f t="shared" ref="X42:X53" si="4">V42/12</f>
        <v>75.503324148957759</v>
      </c>
      <c r="Y42" s="40">
        <f>(X42*$D$42)-X42</f>
        <v>30.201329659583095</v>
      </c>
      <c r="Z42" s="42">
        <f t="shared" ref="Z42:Z105" si="5">U42-W42+X42+Y42</f>
        <v>796.56143987209009</v>
      </c>
      <c r="AA42" s="42"/>
      <c r="AB42" s="40">
        <f t="shared" ref="AB42:AB98" si="6">IF(AB41&lt;2,0,V42-X42+W42)</f>
        <v>906.03988978749305</v>
      </c>
      <c r="AC42" s="42">
        <f t="shared" ref="AC42:AC105" si="7">AB42-V42</f>
        <v>0</v>
      </c>
      <c r="AD42" s="43">
        <f>(N42+X42*12)*0.025</f>
        <v>41.81</v>
      </c>
      <c r="AE42" s="42">
        <f t="shared" ref="AE42:AE105" si="8">Z42+AB42-AD42</f>
        <v>1660.7913296595832</v>
      </c>
      <c r="AF42" s="43">
        <f>AD42</f>
        <v>41.81</v>
      </c>
      <c r="AG42" s="44"/>
      <c r="AH42" s="45">
        <f>IF($M$3="F",315*Z42/BB42,315*Z42/AV42)</f>
        <v>6.9699125988807884</v>
      </c>
      <c r="AI42" s="46"/>
      <c r="AJ42" s="47"/>
      <c r="AK42" s="34"/>
      <c r="AL42" s="22">
        <v>0</v>
      </c>
      <c r="AM42" s="48"/>
      <c r="AN42" s="48"/>
      <c r="AO42" s="48"/>
      <c r="AP42" s="48"/>
      <c r="AQ42" s="48"/>
      <c r="AR42" s="48"/>
      <c r="AS42" s="49">
        <v>5</v>
      </c>
      <c r="AT42" s="50">
        <f>AS42*4500</f>
        <v>22500</v>
      </c>
      <c r="AU42" s="49">
        <v>20</v>
      </c>
      <c r="AV42" s="49">
        <f>AU42*1800</f>
        <v>36000</v>
      </c>
      <c r="AW42" s="51">
        <f>5*LN(AV42/AT42)+6</f>
        <v>8.3500181462286776</v>
      </c>
      <c r="AX42" s="52">
        <v>5</v>
      </c>
      <c r="AY42" s="53">
        <f>AT42</f>
        <v>22500</v>
      </c>
      <c r="AZ42" s="53">
        <f t="shared" ref="AZ42" si="9">AU42</f>
        <v>20</v>
      </c>
      <c r="BA42" s="53">
        <v>1800</v>
      </c>
      <c r="BB42" s="53">
        <f>BA42*AZ42</f>
        <v>36000</v>
      </c>
      <c r="BC42" s="53">
        <f t="shared" ref="BC42:BC92" si="10">IF(AY42=0,NA(),BB42/AY42)</f>
        <v>1.6</v>
      </c>
      <c r="BD42" s="54">
        <f>5*LN(BB42/AY42)+7.8</f>
        <v>10.150018146228678</v>
      </c>
      <c r="BE42" s="89" t="s">
        <v>57</v>
      </c>
      <c r="BF42" s="54"/>
      <c r="BG42" s="55">
        <v>0</v>
      </c>
    </row>
    <row r="43" spans="2:62" x14ac:dyDescent="0.2">
      <c r="D43" s="10"/>
      <c r="J43" s="33">
        <f>J42+1</f>
        <v>-11</v>
      </c>
      <c r="K43" s="96"/>
      <c r="L43" s="42">
        <f>AE42</f>
        <v>1660.7913296595832</v>
      </c>
      <c r="M43" s="35">
        <f t="shared" si="0"/>
        <v>10.012123747532318</v>
      </c>
      <c r="N43" s="36">
        <f>Z42</f>
        <v>796.56143987209009</v>
      </c>
      <c r="O43" s="37"/>
      <c r="P43" s="56">
        <f t="shared" ref="P43:P53" si="11">N43*O43</f>
        <v>0</v>
      </c>
      <c r="Q43" s="56"/>
      <c r="R43" s="56"/>
      <c r="S43" s="56"/>
      <c r="T43" s="56"/>
      <c r="U43" s="39">
        <f t="shared" ref="U43:U53" si="12">N43-SUM(P43:R43)</f>
        <v>796.56143987209009</v>
      </c>
      <c r="V43" s="40">
        <f>AB42</f>
        <v>906.03988978749305</v>
      </c>
      <c r="W43" s="40">
        <f t="shared" si="3"/>
        <v>79.559687830308548</v>
      </c>
      <c r="X43" s="41">
        <f t="shared" si="4"/>
        <v>75.503324148957759</v>
      </c>
      <c r="Y43" s="40">
        <f>(X43*$D$42)-X43</f>
        <v>30.201329659583095</v>
      </c>
      <c r="Z43" s="42">
        <f t="shared" si="5"/>
        <v>822.70640585032231</v>
      </c>
      <c r="AA43" s="42">
        <f>Z43-N43</f>
        <v>26.144965978232221</v>
      </c>
      <c r="AB43" s="40">
        <f t="shared" si="6"/>
        <v>910.09625346884388</v>
      </c>
      <c r="AC43" s="42">
        <f t="shared" si="7"/>
        <v>4.056363681350831</v>
      </c>
      <c r="AD43" s="43">
        <f t="shared" ref="AD43:AD106" si="13">(N43+X43*12)*0.025</f>
        <v>42.565033241489587</v>
      </c>
      <c r="AE43" s="42">
        <f t="shared" si="8"/>
        <v>1690.2376260776766</v>
      </c>
      <c r="AF43" s="43"/>
      <c r="AG43" s="43"/>
      <c r="AH43" s="57"/>
      <c r="AI43" s="55"/>
      <c r="AJ43" s="47">
        <f t="shared" ref="AJ43:AJ106" si="14">(L43-L42)/L42</f>
        <v>-6.9413240495197872E-3</v>
      </c>
      <c r="AK43" s="58"/>
      <c r="AL43" s="22">
        <v>1</v>
      </c>
      <c r="AM43" s="48"/>
      <c r="AN43" s="48"/>
      <c r="AO43" s="48"/>
      <c r="AP43" s="48"/>
      <c r="AQ43" s="48"/>
      <c r="AR43" s="48"/>
      <c r="AS43" s="49">
        <v>5</v>
      </c>
      <c r="AT43" s="50">
        <f t="shared" ref="AT43:AT106" si="15">AS43*4500</f>
        <v>22500</v>
      </c>
      <c r="AU43" s="49">
        <v>20</v>
      </c>
      <c r="AV43" s="49">
        <f t="shared" ref="AV43:AV106" si="16">AU43*1800</f>
        <v>36000</v>
      </c>
      <c r="AW43" s="51">
        <f t="shared" ref="AW43:AW106" si="17">5*LN(AV43/AT43)+6</f>
        <v>8.3500181462286776</v>
      </c>
      <c r="AX43" s="52">
        <f>AX42-0.1</f>
        <v>4.9000000000000004</v>
      </c>
      <c r="AY43" s="53">
        <f t="shared" ref="AY43:AY106" si="18">AX43*4500</f>
        <v>22050</v>
      </c>
      <c r="AZ43" s="59">
        <f>AZ42-0.21</f>
        <v>19.79</v>
      </c>
      <c r="BA43" s="59">
        <f>BA42+5</f>
        <v>1805</v>
      </c>
      <c r="BB43" s="53">
        <f t="shared" ref="BB43:BB49" si="19">BA43*AZ43</f>
        <v>35720.949999999997</v>
      </c>
      <c r="BC43" s="53">
        <f t="shared" si="10"/>
        <v>1.6199977324263037</v>
      </c>
      <c r="BD43" s="54">
        <f t="shared" ref="BD43:BD94" si="20">5*LN(BB43/AY43)+7.6</f>
        <v>10.012123747532318</v>
      </c>
      <c r="BE43" s="89" t="s">
        <v>57</v>
      </c>
      <c r="BF43" s="54"/>
      <c r="BG43" s="55">
        <v>1</v>
      </c>
    </row>
    <row r="44" spans="2:62" ht="12.75" customHeight="1" x14ac:dyDescent="0.2">
      <c r="B44" s="103" t="s">
        <v>62</v>
      </c>
      <c r="C44" s="104"/>
      <c r="D44" s="115">
        <f>(L85-L54)/L54/31</f>
        <v>1.8992659272234372E-2</v>
      </c>
      <c r="E44" s="117" t="s">
        <v>64</v>
      </c>
      <c r="F44" s="117"/>
      <c r="G44" s="117"/>
      <c r="H44" s="117"/>
      <c r="J44" s="33">
        <f t="shared" ref="J44:J53" si="21">J43+1</f>
        <v>-10</v>
      </c>
      <c r="K44" s="96"/>
      <c r="L44" s="42">
        <f t="shared" ref="L44:L107" si="22">AE43</f>
        <v>1690.2376260776766</v>
      </c>
      <c r="M44" s="35">
        <f t="shared" si="0"/>
        <v>10.075710838449895</v>
      </c>
      <c r="N44" s="36">
        <f t="shared" ref="N44:N107" si="23">Z43</f>
        <v>822.70640585032231</v>
      </c>
      <c r="O44" s="37"/>
      <c r="P44" s="56">
        <f t="shared" si="11"/>
        <v>0</v>
      </c>
      <c r="Q44" s="60" t="str">
        <f t="shared" ref="Q44:Q53" si="24">IF(O43&gt;0,N44*O43,"")</f>
        <v/>
      </c>
      <c r="R44" s="60"/>
      <c r="S44" s="60"/>
      <c r="T44" s="60"/>
      <c r="U44" s="39">
        <f t="shared" si="12"/>
        <v>822.70640585032231</v>
      </c>
      <c r="V44" s="40">
        <f t="shared" ref="V44:V105" si="25">AB43</f>
        <v>910.09625346884388</v>
      </c>
      <c r="W44" s="40">
        <f t="shared" si="3"/>
        <v>81.652443092232701</v>
      </c>
      <c r="X44" s="41">
        <f t="shared" si="4"/>
        <v>75.84135445573699</v>
      </c>
      <c r="Y44" s="40">
        <f>(X44*$D$42)-X44</f>
        <v>30.336541782294788</v>
      </c>
      <c r="Z44" s="42">
        <f t="shared" si="5"/>
        <v>847.23185899612145</v>
      </c>
      <c r="AA44" s="42">
        <f t="shared" ref="AA44:AA107" si="26">Z44-N44</f>
        <v>24.525453145799133</v>
      </c>
      <c r="AB44" s="40">
        <f t="shared" si="6"/>
        <v>915.90734210533958</v>
      </c>
      <c r="AC44" s="42">
        <f t="shared" si="7"/>
        <v>5.8110886364956968</v>
      </c>
      <c r="AD44" s="43">
        <f t="shared" si="13"/>
        <v>43.320066482979158</v>
      </c>
      <c r="AE44" s="42">
        <f t="shared" si="8"/>
        <v>1719.8191346184817</v>
      </c>
      <c r="AF44" s="43">
        <f t="shared" ref="AF44" si="27">AD44</f>
        <v>43.320066482979158</v>
      </c>
      <c r="AG44" s="44"/>
      <c r="AH44" s="45"/>
      <c r="AI44" s="46" t="str">
        <f>IF(O44&gt;0,SUM(P44:R46)/L44,"")</f>
        <v/>
      </c>
      <c r="AJ44" s="47">
        <f t="shared" si="14"/>
        <v>1.7730280675374858E-2</v>
      </c>
      <c r="AK44" s="61"/>
      <c r="AL44" s="22">
        <v>2</v>
      </c>
      <c r="AM44" s="62"/>
      <c r="AN44" s="48"/>
      <c r="AO44" s="48"/>
      <c r="AP44" s="48"/>
      <c r="AQ44" s="48"/>
      <c r="AR44" s="48"/>
      <c r="AS44" s="49">
        <v>5</v>
      </c>
      <c r="AT44" s="50">
        <f t="shared" si="15"/>
        <v>22500</v>
      </c>
      <c r="AU44" s="49">
        <v>20</v>
      </c>
      <c r="AV44" s="49">
        <f t="shared" si="16"/>
        <v>36000</v>
      </c>
      <c r="AW44" s="51">
        <f t="shared" si="17"/>
        <v>8.3500181462286776</v>
      </c>
      <c r="AX44" s="52">
        <f t="shared" ref="AX44:AX91" si="28">AX43-0.1</f>
        <v>4.8000000000000007</v>
      </c>
      <c r="AY44" s="53">
        <f t="shared" si="18"/>
        <v>21600.000000000004</v>
      </c>
      <c r="AZ44" s="59">
        <f t="shared" ref="AZ44:AZ89" si="29">AZ43-0.21</f>
        <v>19.579999999999998</v>
      </c>
      <c r="BA44" s="59">
        <f t="shared" ref="BA44:BA107" si="30">BA43+5</f>
        <v>1810</v>
      </c>
      <c r="BB44" s="53">
        <f t="shared" si="19"/>
        <v>35439.799999999996</v>
      </c>
      <c r="BC44" s="53">
        <f t="shared" si="10"/>
        <v>1.6407314814814811</v>
      </c>
      <c r="BD44" s="54">
        <f t="shared" si="20"/>
        <v>10.075710838449895</v>
      </c>
      <c r="BE44" s="89" t="s">
        <v>57</v>
      </c>
      <c r="BF44" s="54"/>
      <c r="BG44" s="55">
        <v>2</v>
      </c>
    </row>
    <row r="45" spans="2:62" x14ac:dyDescent="0.2">
      <c r="B45" s="105"/>
      <c r="C45" s="106"/>
      <c r="D45" s="116"/>
      <c r="E45" s="117"/>
      <c r="F45" s="117"/>
      <c r="G45" s="117"/>
      <c r="H45" s="117"/>
      <c r="J45" s="33">
        <f t="shared" si="21"/>
        <v>-9</v>
      </c>
      <c r="K45" s="96"/>
      <c r="L45" s="42">
        <f t="shared" si="22"/>
        <v>1719.8191346184817</v>
      </c>
      <c r="M45" s="35">
        <f t="shared" si="0"/>
        <v>10.140855198217157</v>
      </c>
      <c r="N45" s="36">
        <f t="shared" si="23"/>
        <v>847.23185899612145</v>
      </c>
      <c r="O45" s="37"/>
      <c r="P45" s="56">
        <f t="shared" si="11"/>
        <v>0</v>
      </c>
      <c r="Q45" s="60" t="str">
        <f t="shared" si="24"/>
        <v/>
      </c>
      <c r="R45" s="60" t="str">
        <f t="shared" ref="R45:R53" si="31">IF(O43&gt;0,N45*O43,"")</f>
        <v/>
      </c>
      <c r="S45" s="60"/>
      <c r="T45" s="60"/>
      <c r="U45" s="39">
        <f t="shared" si="12"/>
        <v>847.23185899612145</v>
      </c>
      <c r="V45" s="40">
        <f t="shared" si="25"/>
        <v>915.90734210533958</v>
      </c>
      <c r="W45" s="40">
        <f t="shared" si="3"/>
        <v>83.546391545465667</v>
      </c>
      <c r="X45" s="41">
        <f t="shared" si="4"/>
        <v>76.325611842111627</v>
      </c>
      <c r="Y45" s="40">
        <f>(X45*$D$42)-X45</f>
        <v>30.530244736844651</v>
      </c>
      <c r="Z45" s="42">
        <f t="shared" si="5"/>
        <v>870.54132402961204</v>
      </c>
      <c r="AA45" s="42">
        <f t="shared" si="26"/>
        <v>23.309465033490596</v>
      </c>
      <c r="AB45" s="40">
        <f t="shared" si="6"/>
        <v>923.12812180869366</v>
      </c>
      <c r="AC45" s="42">
        <f t="shared" si="7"/>
        <v>7.2207797033540828</v>
      </c>
      <c r="AD45" s="43">
        <f t="shared" si="13"/>
        <v>44.078480027536528</v>
      </c>
      <c r="AE45" s="42">
        <f t="shared" si="8"/>
        <v>1749.5909658107694</v>
      </c>
      <c r="AF45" s="43"/>
      <c r="AG45" s="44"/>
      <c r="AH45" s="45"/>
      <c r="AI45" s="46" t="str">
        <f t="shared" ref="AI45:AI76" si="32">IF(O43&gt;0,SUM(P43:R45)/L43,"")</f>
        <v/>
      </c>
      <c r="AJ45" s="47">
        <f t="shared" si="14"/>
        <v>1.7501390387013926E-2</v>
      </c>
      <c r="AK45" s="61"/>
      <c r="AL45" s="22">
        <v>3</v>
      </c>
      <c r="AM45" s="62"/>
      <c r="AN45" s="48"/>
      <c r="AO45" s="48"/>
      <c r="AP45" s="48"/>
      <c r="AQ45" s="48"/>
      <c r="AR45" s="48"/>
      <c r="AS45" s="49">
        <v>5</v>
      </c>
      <c r="AT45" s="50">
        <f t="shared" si="15"/>
        <v>22500</v>
      </c>
      <c r="AU45" s="49">
        <v>20</v>
      </c>
      <c r="AV45" s="49">
        <f t="shared" si="16"/>
        <v>36000</v>
      </c>
      <c r="AW45" s="51">
        <f t="shared" si="17"/>
        <v>8.3500181462286776</v>
      </c>
      <c r="AX45" s="52">
        <f t="shared" si="28"/>
        <v>4.7000000000000011</v>
      </c>
      <c r="AY45" s="53">
        <f t="shared" si="18"/>
        <v>21150.000000000004</v>
      </c>
      <c r="AZ45" s="59">
        <f t="shared" si="29"/>
        <v>19.369999999999997</v>
      </c>
      <c r="BA45" s="59">
        <f t="shared" si="30"/>
        <v>1815</v>
      </c>
      <c r="BB45" s="53">
        <f t="shared" si="19"/>
        <v>35156.549999999996</v>
      </c>
      <c r="BC45" s="53">
        <f t="shared" si="10"/>
        <v>1.662248226950354</v>
      </c>
      <c r="BD45" s="54">
        <f t="shared" si="20"/>
        <v>10.140855198217157</v>
      </c>
      <c r="BE45" s="89" t="s">
        <v>57</v>
      </c>
      <c r="BF45" s="54"/>
      <c r="BG45" s="55">
        <v>3</v>
      </c>
    </row>
    <row r="46" spans="2:62" x14ac:dyDescent="0.2">
      <c r="E46" s="117"/>
      <c r="F46" s="117"/>
      <c r="G46" s="117"/>
      <c r="H46" s="117"/>
      <c r="J46" s="33">
        <f t="shared" si="21"/>
        <v>-8</v>
      </c>
      <c r="K46" s="96"/>
      <c r="L46" s="42">
        <f t="shared" si="22"/>
        <v>1749.5909658107694</v>
      </c>
      <c r="M46" s="35">
        <f t="shared" si="0"/>
        <v>10.207637866800471</v>
      </c>
      <c r="N46" s="36">
        <f t="shared" si="23"/>
        <v>870.54132402961204</v>
      </c>
      <c r="O46" s="37"/>
      <c r="P46" s="56">
        <f t="shared" si="11"/>
        <v>0</v>
      </c>
      <c r="Q46" s="60" t="str">
        <f t="shared" si="24"/>
        <v/>
      </c>
      <c r="R46" s="60" t="str">
        <f t="shared" si="31"/>
        <v/>
      </c>
      <c r="S46" s="60"/>
      <c r="T46" s="60"/>
      <c r="U46" s="39">
        <f t="shared" si="12"/>
        <v>870.54132402961204</v>
      </c>
      <c r="V46" s="40">
        <f t="shared" si="25"/>
        <v>923.12812180869366</v>
      </c>
      <c r="W46" s="40">
        <f t="shared" si="3"/>
        <v>85.283327581690401</v>
      </c>
      <c r="X46" s="41">
        <f t="shared" si="4"/>
        <v>76.927343484057801</v>
      </c>
      <c r="Y46" s="40">
        <f>(X46*$D$42)-X46</f>
        <v>30.770937393623115</v>
      </c>
      <c r="Z46" s="42">
        <f t="shared" si="5"/>
        <v>892.95627732560251</v>
      </c>
      <c r="AA46" s="42">
        <f t="shared" si="26"/>
        <v>22.414953295990472</v>
      </c>
      <c r="AB46" s="40">
        <f t="shared" si="6"/>
        <v>931.48410590632625</v>
      </c>
      <c r="AC46" s="42">
        <f t="shared" si="7"/>
        <v>8.3559840976325859</v>
      </c>
      <c r="AD46" s="43">
        <f t="shared" si="13"/>
        <v>44.84173614595764</v>
      </c>
      <c r="AE46" s="42">
        <f t="shared" si="8"/>
        <v>1779.5986470859712</v>
      </c>
      <c r="AF46" s="43">
        <f t="shared" ref="AF46" si="33">AD46</f>
        <v>44.84173614595764</v>
      </c>
      <c r="AG46" s="44"/>
      <c r="AH46" s="45"/>
      <c r="AI46" s="46" t="str">
        <f t="shared" si="32"/>
        <v/>
      </c>
      <c r="AJ46" s="47">
        <f t="shared" si="14"/>
        <v>1.7311024510081485E-2</v>
      </c>
      <c r="AK46" s="61"/>
      <c r="AL46" s="22">
        <v>4</v>
      </c>
      <c r="AM46" s="62"/>
      <c r="AN46" s="48"/>
      <c r="AO46" s="48"/>
      <c r="AP46" s="48"/>
      <c r="AQ46" s="48"/>
      <c r="AR46" s="48"/>
      <c r="AS46" s="49">
        <v>5</v>
      </c>
      <c r="AT46" s="50">
        <f t="shared" si="15"/>
        <v>22500</v>
      </c>
      <c r="AU46" s="49">
        <v>20</v>
      </c>
      <c r="AV46" s="49">
        <f t="shared" si="16"/>
        <v>36000</v>
      </c>
      <c r="AW46" s="51">
        <f t="shared" si="17"/>
        <v>8.3500181462286776</v>
      </c>
      <c r="AX46" s="52">
        <f t="shared" si="28"/>
        <v>4.6000000000000014</v>
      </c>
      <c r="AY46" s="53">
        <f t="shared" si="18"/>
        <v>20700.000000000007</v>
      </c>
      <c r="AZ46" s="59">
        <f t="shared" si="29"/>
        <v>19.159999999999997</v>
      </c>
      <c r="BA46" s="59">
        <f t="shared" si="30"/>
        <v>1820</v>
      </c>
      <c r="BB46" s="53">
        <f t="shared" si="19"/>
        <v>34871.199999999997</v>
      </c>
      <c r="BC46" s="53">
        <f t="shared" si="10"/>
        <v>1.6845990338164243</v>
      </c>
      <c r="BD46" s="54">
        <f t="shared" si="20"/>
        <v>10.207637866800471</v>
      </c>
      <c r="BE46" s="89" t="s">
        <v>57</v>
      </c>
      <c r="BF46" s="54"/>
      <c r="BG46" s="55">
        <v>4</v>
      </c>
    </row>
    <row r="47" spans="2:62" x14ac:dyDescent="0.2">
      <c r="J47" s="33">
        <f t="shared" si="21"/>
        <v>-7</v>
      </c>
      <c r="K47" s="96"/>
      <c r="L47" s="42">
        <f t="shared" si="22"/>
        <v>1779.5986470859712</v>
      </c>
      <c r="M47" s="35">
        <f t="shared" si="0"/>
        <v>10.276145625051708</v>
      </c>
      <c r="N47" s="36">
        <f t="shared" si="23"/>
        <v>892.95627732560251</v>
      </c>
      <c r="O47" s="37"/>
      <c r="P47" s="56">
        <f t="shared" si="11"/>
        <v>0</v>
      </c>
      <c r="Q47" s="60" t="str">
        <f t="shared" si="24"/>
        <v/>
      </c>
      <c r="R47" s="60" t="str">
        <f t="shared" si="31"/>
        <v/>
      </c>
      <c r="S47" s="60"/>
      <c r="T47" s="60"/>
      <c r="U47" s="39">
        <f t="shared" si="12"/>
        <v>892.95627732560251</v>
      </c>
      <c r="V47" s="40">
        <f t="shared" si="25"/>
        <v>931.48410590632625</v>
      </c>
      <c r="W47" s="40">
        <f t="shared" si="3"/>
        <v>86.896031830135655</v>
      </c>
      <c r="X47" s="41">
        <f t="shared" si="4"/>
        <v>77.623675492193854</v>
      </c>
      <c r="Y47" s="40">
        <f>(X47*$D$42)-X47</f>
        <v>31.049470196877536</v>
      </c>
      <c r="Z47" s="42">
        <f t="shared" si="5"/>
        <v>914.73339118453828</v>
      </c>
      <c r="AA47" s="42">
        <f t="shared" si="26"/>
        <v>21.777113858935763</v>
      </c>
      <c r="AB47" s="40">
        <f t="shared" si="6"/>
        <v>940.75646224426805</v>
      </c>
      <c r="AC47" s="42">
        <f t="shared" si="7"/>
        <v>9.272356337941801</v>
      </c>
      <c r="AD47" s="43">
        <f t="shared" si="13"/>
        <v>45.611009580798225</v>
      </c>
      <c r="AE47" s="42">
        <f t="shared" si="8"/>
        <v>1809.878843848008</v>
      </c>
      <c r="AF47" s="43"/>
      <c r="AG47" s="44"/>
      <c r="AH47" s="45"/>
      <c r="AI47" s="46" t="str">
        <f t="shared" si="32"/>
        <v/>
      </c>
      <c r="AJ47" s="47">
        <f t="shared" si="14"/>
        <v>1.7151255271426292E-2</v>
      </c>
      <c r="AK47" s="61"/>
      <c r="AL47" s="22">
        <v>5</v>
      </c>
      <c r="AM47" s="48"/>
      <c r="AN47" s="48"/>
      <c r="AO47" s="48"/>
      <c r="AP47" s="48"/>
      <c r="AQ47" s="48"/>
      <c r="AR47" s="48"/>
      <c r="AS47" s="49">
        <v>5</v>
      </c>
      <c r="AT47" s="50">
        <f t="shared" si="15"/>
        <v>22500</v>
      </c>
      <c r="AU47" s="49">
        <v>20</v>
      </c>
      <c r="AV47" s="49">
        <f t="shared" si="16"/>
        <v>36000</v>
      </c>
      <c r="AW47" s="51">
        <f t="shared" si="17"/>
        <v>8.3500181462286776</v>
      </c>
      <c r="AX47" s="52">
        <f t="shared" si="28"/>
        <v>4.5000000000000018</v>
      </c>
      <c r="AY47" s="53">
        <f t="shared" si="18"/>
        <v>20250.000000000007</v>
      </c>
      <c r="AZ47" s="59">
        <f t="shared" si="29"/>
        <v>18.949999999999996</v>
      </c>
      <c r="BA47" s="59">
        <f t="shared" si="30"/>
        <v>1825</v>
      </c>
      <c r="BB47" s="53">
        <f t="shared" si="19"/>
        <v>34583.749999999993</v>
      </c>
      <c r="BC47" s="53">
        <f t="shared" si="10"/>
        <v>1.7078395061728386</v>
      </c>
      <c r="BD47" s="54">
        <f t="shared" si="20"/>
        <v>10.276145625051708</v>
      </c>
      <c r="BE47" s="89" t="s">
        <v>57</v>
      </c>
      <c r="BF47" s="54"/>
      <c r="BG47" s="55">
        <v>5</v>
      </c>
    </row>
    <row r="48" spans="2:62" x14ac:dyDescent="0.2">
      <c r="J48" s="33">
        <f t="shared" si="21"/>
        <v>-6</v>
      </c>
      <c r="K48" s="96"/>
      <c r="L48" s="42">
        <f t="shared" si="22"/>
        <v>1809.878843848008</v>
      </c>
      <c r="M48" s="35">
        <f t="shared" si="0"/>
        <v>10.346471529815576</v>
      </c>
      <c r="N48" s="36">
        <f t="shared" si="23"/>
        <v>914.73339118453828</v>
      </c>
      <c r="O48" s="37"/>
      <c r="P48" s="56">
        <f t="shared" si="11"/>
        <v>0</v>
      </c>
      <c r="Q48" s="60" t="str">
        <f t="shared" si="24"/>
        <v/>
      </c>
      <c r="R48" s="60" t="str">
        <f t="shared" si="31"/>
        <v/>
      </c>
      <c r="S48" s="60"/>
      <c r="T48" s="60"/>
      <c r="U48" s="39">
        <f t="shared" si="12"/>
        <v>914.73339118453828</v>
      </c>
      <c r="V48" s="40">
        <f t="shared" si="25"/>
        <v>940.75646224426805</v>
      </c>
      <c r="W48" s="40">
        <f t="shared" si="3"/>
        <v>88.410178150931742</v>
      </c>
      <c r="X48" s="41">
        <f t="shared" si="4"/>
        <v>78.396371853689004</v>
      </c>
      <c r="Y48" s="40">
        <f>(X48*$D$42)-X48</f>
        <v>31.358548741475602</v>
      </c>
      <c r="Z48" s="42">
        <f t="shared" si="5"/>
        <v>936.07813362877107</v>
      </c>
      <c r="AA48" s="42">
        <f t="shared" si="26"/>
        <v>21.344742444232793</v>
      </c>
      <c r="AB48" s="40">
        <f t="shared" si="6"/>
        <v>950.77026854151075</v>
      </c>
      <c r="AC48" s="42">
        <f t="shared" si="7"/>
        <v>10.013806297242695</v>
      </c>
      <c r="AD48" s="43">
        <f t="shared" si="13"/>
        <v>46.387246335720164</v>
      </c>
      <c r="AE48" s="42">
        <f t="shared" si="8"/>
        <v>1840.4611558345616</v>
      </c>
      <c r="AF48" s="43">
        <f t="shared" ref="AF48" si="34">AD48</f>
        <v>46.387246335720164</v>
      </c>
      <c r="AG48" s="44"/>
      <c r="AH48" s="45"/>
      <c r="AI48" s="46" t="str">
        <f t="shared" si="32"/>
        <v/>
      </c>
      <c r="AJ48" s="47">
        <f t="shared" si="14"/>
        <v>1.7015183064799263E-2</v>
      </c>
      <c r="AK48" s="61"/>
      <c r="AL48" s="22">
        <v>6</v>
      </c>
      <c r="AM48" s="48"/>
      <c r="AN48" s="48"/>
      <c r="AO48" s="63"/>
      <c r="AP48" s="63"/>
      <c r="AQ48" s="63"/>
      <c r="AR48" s="63"/>
      <c r="AS48" s="49">
        <v>5</v>
      </c>
      <c r="AT48" s="50">
        <f t="shared" si="15"/>
        <v>22500</v>
      </c>
      <c r="AU48" s="49">
        <v>20</v>
      </c>
      <c r="AV48" s="49">
        <f t="shared" si="16"/>
        <v>36000</v>
      </c>
      <c r="AW48" s="51">
        <f t="shared" si="17"/>
        <v>8.3500181462286776</v>
      </c>
      <c r="AX48" s="52">
        <f t="shared" si="28"/>
        <v>4.4000000000000021</v>
      </c>
      <c r="AY48" s="53">
        <f t="shared" si="18"/>
        <v>19800.000000000011</v>
      </c>
      <c r="AZ48" s="59">
        <f t="shared" si="29"/>
        <v>18.739999999999995</v>
      </c>
      <c r="BA48" s="59">
        <f t="shared" si="30"/>
        <v>1830</v>
      </c>
      <c r="BB48" s="53">
        <f t="shared" si="19"/>
        <v>34294.19999999999</v>
      </c>
      <c r="BC48" s="53">
        <f t="shared" si="10"/>
        <v>1.7320303030303015</v>
      </c>
      <c r="BD48" s="54">
        <f t="shared" si="20"/>
        <v>10.346471529815576</v>
      </c>
      <c r="BE48" s="89" t="s">
        <v>57</v>
      </c>
      <c r="BF48" s="54"/>
      <c r="BG48" s="55">
        <v>6</v>
      </c>
    </row>
    <row r="49" spans="7:59" x14ac:dyDescent="0.2">
      <c r="J49" s="33">
        <f t="shared" si="21"/>
        <v>-5</v>
      </c>
      <c r="K49" s="96"/>
      <c r="L49" s="42">
        <f t="shared" si="22"/>
        <v>1840.4611558345616</v>
      </c>
      <c r="M49" s="35">
        <f t="shared" si="0"/>
        <v>10.41871551164005</v>
      </c>
      <c r="N49" s="36">
        <f t="shared" si="23"/>
        <v>936.07813362877107</v>
      </c>
      <c r="O49" s="37"/>
      <c r="P49" s="56">
        <f t="shared" si="11"/>
        <v>0</v>
      </c>
      <c r="Q49" s="60" t="str">
        <f t="shared" si="24"/>
        <v/>
      </c>
      <c r="R49" s="60" t="str">
        <f t="shared" si="31"/>
        <v/>
      </c>
      <c r="S49" s="60"/>
      <c r="T49" s="60"/>
      <c r="U49" s="39">
        <f t="shared" si="12"/>
        <v>936.07813362877107</v>
      </c>
      <c r="V49" s="40">
        <f t="shared" si="25"/>
        <v>950.77026854151075</v>
      </c>
      <c r="W49" s="40">
        <f t="shared" si="3"/>
        <v>89.845829131524042</v>
      </c>
      <c r="X49" s="41">
        <f t="shared" si="4"/>
        <v>79.230855711792557</v>
      </c>
      <c r="Y49" s="40">
        <f>(X49*$D$42)-X49</f>
        <v>31.692342284717014</v>
      </c>
      <c r="Z49" s="42">
        <f t="shared" si="5"/>
        <v>957.15550249375656</v>
      </c>
      <c r="AA49" s="42">
        <f t="shared" si="26"/>
        <v>21.077368864985488</v>
      </c>
      <c r="AB49" s="40">
        <f t="shared" si="6"/>
        <v>961.38524196124229</v>
      </c>
      <c r="AC49" s="42">
        <f t="shared" si="7"/>
        <v>10.614973419731541</v>
      </c>
      <c r="AD49" s="43">
        <f t="shared" si="13"/>
        <v>47.171210054257045</v>
      </c>
      <c r="AE49" s="42">
        <f t="shared" si="8"/>
        <v>1871.3695344007417</v>
      </c>
      <c r="AF49" s="43"/>
      <c r="AG49" s="44"/>
      <c r="AH49" s="45"/>
      <c r="AI49" s="46" t="str">
        <f t="shared" si="32"/>
        <v/>
      </c>
      <c r="AJ49" s="47">
        <f t="shared" si="14"/>
        <v>1.6897436030321292E-2</v>
      </c>
      <c r="AK49" s="61"/>
      <c r="AL49" s="22">
        <v>7</v>
      </c>
      <c r="AM49" s="48"/>
      <c r="AN49" s="48"/>
      <c r="AO49" s="48"/>
      <c r="AP49" s="48"/>
      <c r="AQ49" s="48"/>
      <c r="AR49" s="48"/>
      <c r="AS49" s="49">
        <v>5</v>
      </c>
      <c r="AT49" s="50">
        <f t="shared" si="15"/>
        <v>22500</v>
      </c>
      <c r="AU49" s="49">
        <v>20</v>
      </c>
      <c r="AV49" s="49">
        <f t="shared" si="16"/>
        <v>36000</v>
      </c>
      <c r="AW49" s="51">
        <f t="shared" si="17"/>
        <v>8.3500181462286776</v>
      </c>
      <c r="AX49" s="52">
        <f t="shared" si="28"/>
        <v>4.3000000000000025</v>
      </c>
      <c r="AY49" s="53">
        <f t="shared" si="18"/>
        <v>19350.000000000011</v>
      </c>
      <c r="AZ49" s="59">
        <f t="shared" si="29"/>
        <v>18.529999999999994</v>
      </c>
      <c r="BA49" s="59">
        <f t="shared" si="30"/>
        <v>1835</v>
      </c>
      <c r="BB49" s="53">
        <f t="shared" si="19"/>
        <v>34002.549999999988</v>
      </c>
      <c r="BC49" s="53">
        <f t="shared" si="10"/>
        <v>1.7572377260981895</v>
      </c>
      <c r="BD49" s="54">
        <f t="shared" si="20"/>
        <v>10.41871551164005</v>
      </c>
      <c r="BE49" s="89" t="s">
        <v>57</v>
      </c>
      <c r="BF49" s="54"/>
      <c r="BG49" s="55">
        <v>7</v>
      </c>
    </row>
    <row r="50" spans="7:59" ht="12.75" customHeight="1" x14ac:dyDescent="0.2">
      <c r="J50" s="33">
        <f t="shared" si="21"/>
        <v>-4</v>
      </c>
      <c r="K50" s="97"/>
      <c r="L50" s="42">
        <f t="shared" si="22"/>
        <v>1871.3695344007417</v>
      </c>
      <c r="M50" s="35">
        <f t="shared" si="0"/>
        <v>10.492985044006403</v>
      </c>
      <c r="N50" s="36">
        <f t="shared" si="23"/>
        <v>957.15550249375656</v>
      </c>
      <c r="O50" s="37"/>
      <c r="P50" s="56">
        <f t="shared" si="11"/>
        <v>0</v>
      </c>
      <c r="Q50" s="60" t="str">
        <f t="shared" si="24"/>
        <v/>
      </c>
      <c r="R50" s="60" t="str">
        <f t="shared" si="31"/>
        <v/>
      </c>
      <c r="S50" s="60"/>
      <c r="T50" s="60"/>
      <c r="U50" s="39">
        <f t="shared" si="12"/>
        <v>957.15550249375656</v>
      </c>
      <c r="V50" s="40">
        <f t="shared" si="25"/>
        <v>961.38524196124229</v>
      </c>
      <c r="W50" s="40">
        <f t="shared" si="3"/>
        <v>91.218609240321385</v>
      </c>
      <c r="X50" s="41">
        <f t="shared" si="4"/>
        <v>80.115436830103519</v>
      </c>
      <c r="Y50" s="40">
        <f>(X50*$D$42)-X50</f>
        <v>32.046174732041393</v>
      </c>
      <c r="Z50" s="42">
        <f t="shared" si="5"/>
        <v>978.0985048155801</v>
      </c>
      <c r="AA50" s="42">
        <f t="shared" si="26"/>
        <v>20.943002321823542</v>
      </c>
      <c r="AB50" s="40">
        <f t="shared" si="6"/>
        <v>972.48841437146018</v>
      </c>
      <c r="AC50" s="42">
        <f t="shared" si="7"/>
        <v>11.103172410217894</v>
      </c>
      <c r="AD50" s="43">
        <f t="shared" si="13"/>
        <v>47.963518611374973</v>
      </c>
      <c r="AE50" s="42">
        <f t="shared" si="8"/>
        <v>1902.6234005756653</v>
      </c>
      <c r="AF50" s="43">
        <f t="shared" ref="AF50" si="35">AD50</f>
        <v>47.963518611374973</v>
      </c>
      <c r="AG50" s="44"/>
      <c r="AH50" s="45"/>
      <c r="AI50" s="46" t="str">
        <f t="shared" si="32"/>
        <v/>
      </c>
      <c r="AJ50" s="47">
        <f t="shared" si="14"/>
        <v>1.6793822824347854E-2</v>
      </c>
      <c r="AK50" s="61"/>
      <c r="AL50" s="22">
        <v>8</v>
      </c>
      <c r="AM50" s="48"/>
      <c r="AN50" s="48"/>
      <c r="AO50" s="48"/>
      <c r="AP50" s="63"/>
      <c r="AQ50" s="63"/>
      <c r="AR50" s="63"/>
      <c r="AS50" s="49">
        <v>5</v>
      </c>
      <c r="AT50" s="50">
        <f t="shared" si="15"/>
        <v>22500</v>
      </c>
      <c r="AU50" s="49">
        <v>20</v>
      </c>
      <c r="AV50" s="49">
        <f t="shared" si="16"/>
        <v>36000</v>
      </c>
      <c r="AW50" s="51">
        <f t="shared" si="17"/>
        <v>8.3500181462286776</v>
      </c>
      <c r="AX50" s="52">
        <f t="shared" si="28"/>
        <v>4.2000000000000028</v>
      </c>
      <c r="AY50" s="53">
        <f t="shared" si="18"/>
        <v>18900.000000000015</v>
      </c>
      <c r="AZ50" s="59">
        <f t="shared" si="29"/>
        <v>18.319999999999993</v>
      </c>
      <c r="BA50" s="59">
        <f t="shared" si="30"/>
        <v>1840</v>
      </c>
      <c r="BB50" s="53">
        <f t="shared" ref="BB50:BB90" si="36">AZ50*BA50</f>
        <v>33708.799999999988</v>
      </c>
      <c r="BC50" s="53">
        <f t="shared" si="10"/>
        <v>1.7835343915343895</v>
      </c>
      <c r="BD50" s="54">
        <f t="shared" si="20"/>
        <v>10.492985044006403</v>
      </c>
      <c r="BE50" s="89" t="s">
        <v>57</v>
      </c>
      <c r="BF50" s="54"/>
      <c r="BG50" s="55">
        <v>8</v>
      </c>
    </row>
    <row r="51" spans="7:59" ht="12.75" customHeight="1" x14ac:dyDescent="0.2">
      <c r="H51" s="98" t="s">
        <v>50</v>
      </c>
      <c r="I51" s="98"/>
      <c r="J51" s="33">
        <f t="shared" si="21"/>
        <v>-3</v>
      </c>
      <c r="K51" s="99" t="s">
        <v>51</v>
      </c>
      <c r="L51" s="42">
        <f t="shared" si="22"/>
        <v>1902.6234005756653</v>
      </c>
      <c r="M51" s="35">
        <f t="shared" si="0"/>
        <v>10.569395894506375</v>
      </c>
      <c r="N51" s="36">
        <f t="shared" si="23"/>
        <v>978.0985048155801</v>
      </c>
      <c r="O51" s="37"/>
      <c r="P51" s="56">
        <f t="shared" si="11"/>
        <v>0</v>
      </c>
      <c r="Q51" s="60" t="str">
        <f t="shared" si="24"/>
        <v/>
      </c>
      <c r="R51" s="60" t="str">
        <f t="shared" si="31"/>
        <v/>
      </c>
      <c r="S51" s="60"/>
      <c r="T51" s="60"/>
      <c r="U51" s="39">
        <f t="shared" si="12"/>
        <v>978.0985048155801</v>
      </c>
      <c r="V51" s="40">
        <f t="shared" si="25"/>
        <v>972.48841437146018</v>
      </c>
      <c r="W51" s="40">
        <f t="shared" si="3"/>
        <v>92.540625271115417</v>
      </c>
      <c r="X51" s="41">
        <f t="shared" si="4"/>
        <v>81.040701197621686</v>
      </c>
      <c r="Y51" s="40">
        <f>(X51*$D$42)-X51</f>
        <v>32.416280479048666</v>
      </c>
      <c r="Z51" s="42">
        <f t="shared" si="5"/>
        <v>999.01486122113499</v>
      </c>
      <c r="AA51" s="42">
        <f t="shared" si="26"/>
        <v>20.916356405554893</v>
      </c>
      <c r="AB51" s="40">
        <f t="shared" si="6"/>
        <v>983.98833844495391</v>
      </c>
      <c r="AC51" s="42">
        <f t="shared" si="7"/>
        <v>11.49992407349373</v>
      </c>
      <c r="AD51" s="43">
        <f t="shared" si="13"/>
        <v>48.764672979676014</v>
      </c>
      <c r="AE51" s="42">
        <f t="shared" si="8"/>
        <v>1934.2385266864128</v>
      </c>
      <c r="AF51" s="43"/>
      <c r="AG51" s="44"/>
      <c r="AH51" s="45"/>
      <c r="AI51" s="46" t="str">
        <f t="shared" si="32"/>
        <v/>
      </c>
      <c r="AJ51" s="47">
        <f t="shared" si="14"/>
        <v>1.6701066037676966E-2</v>
      </c>
      <c r="AK51" s="61"/>
      <c r="AL51" s="22">
        <v>9</v>
      </c>
      <c r="AM51" s="48"/>
      <c r="AN51" s="48"/>
      <c r="AO51" s="48"/>
      <c r="AP51" s="48"/>
      <c r="AQ51" s="48"/>
      <c r="AR51" s="48"/>
      <c r="AS51" s="49">
        <v>5</v>
      </c>
      <c r="AT51" s="50">
        <f t="shared" si="15"/>
        <v>22500</v>
      </c>
      <c r="AU51" s="49">
        <v>20</v>
      </c>
      <c r="AV51" s="49">
        <f t="shared" si="16"/>
        <v>36000</v>
      </c>
      <c r="AW51" s="51">
        <f t="shared" si="17"/>
        <v>8.3500181462286776</v>
      </c>
      <c r="AX51" s="52">
        <f t="shared" si="28"/>
        <v>4.1000000000000032</v>
      </c>
      <c r="AY51" s="53">
        <f t="shared" si="18"/>
        <v>18450.000000000015</v>
      </c>
      <c r="AZ51" s="59">
        <f t="shared" si="29"/>
        <v>18.109999999999992</v>
      </c>
      <c r="BA51" s="59">
        <f t="shared" si="30"/>
        <v>1845</v>
      </c>
      <c r="BB51" s="53">
        <f t="shared" si="36"/>
        <v>33412.949999999983</v>
      </c>
      <c r="BC51" s="53">
        <f t="shared" si="10"/>
        <v>1.8109999999999977</v>
      </c>
      <c r="BD51" s="54">
        <f t="shared" si="20"/>
        <v>10.569395894506375</v>
      </c>
      <c r="BE51" s="89" t="s">
        <v>57</v>
      </c>
      <c r="BF51" s="54"/>
      <c r="BG51" s="55">
        <v>9</v>
      </c>
    </row>
    <row r="52" spans="7:59" x14ac:dyDescent="0.2">
      <c r="H52" s="65" t="s">
        <v>10</v>
      </c>
      <c r="I52" s="64">
        <f>0.8213</f>
        <v>0.82130000000000003</v>
      </c>
      <c r="J52" s="33">
        <f t="shared" si="21"/>
        <v>-2</v>
      </c>
      <c r="K52" s="100"/>
      <c r="L52" s="42">
        <f t="shared" si="22"/>
        <v>1934.2385266864128</v>
      </c>
      <c r="M52" s="35">
        <f t="shared" si="0"/>
        <v>10.648072970203884</v>
      </c>
      <c r="N52" s="36">
        <f t="shared" si="23"/>
        <v>999.01486122113499</v>
      </c>
      <c r="O52" s="37"/>
      <c r="P52" s="56">
        <f t="shared" si="11"/>
        <v>0</v>
      </c>
      <c r="Q52" s="60" t="str">
        <f t="shared" si="24"/>
        <v/>
      </c>
      <c r="R52" s="60" t="str">
        <f t="shared" si="31"/>
        <v/>
      </c>
      <c r="S52" s="60"/>
      <c r="T52" s="60"/>
      <c r="U52" s="39">
        <f t="shared" si="12"/>
        <v>999.01486122113499</v>
      </c>
      <c r="V52" s="40">
        <f t="shared" si="25"/>
        <v>983.98833844495391</v>
      </c>
      <c r="W52" s="40">
        <f t="shared" si="3"/>
        <v>93.821188492663595</v>
      </c>
      <c r="X52" s="41">
        <f t="shared" si="4"/>
        <v>81.999028203746164</v>
      </c>
      <c r="Y52" s="40">
        <f>(X52*$D$42)-X52</f>
        <v>32.799611281498457</v>
      </c>
      <c r="Z52" s="42">
        <f t="shared" si="5"/>
        <v>1019.992312213716</v>
      </c>
      <c r="AA52" s="42">
        <f t="shared" si="26"/>
        <v>20.977450992580998</v>
      </c>
      <c r="AB52" s="40">
        <f t="shared" si="6"/>
        <v>995.81049873387133</v>
      </c>
      <c r="AC52" s="42">
        <f t="shared" si="7"/>
        <v>11.822160288917416</v>
      </c>
      <c r="AD52" s="43">
        <f t="shared" si="13"/>
        <v>49.575079991652231</v>
      </c>
      <c r="AE52" s="42">
        <f t="shared" si="8"/>
        <v>1966.2277309559349</v>
      </c>
      <c r="AF52" s="43">
        <f t="shared" ref="AF52" si="37">AD52</f>
        <v>49.575079991652231</v>
      </c>
      <c r="AG52" s="44"/>
      <c r="AH52" s="45"/>
      <c r="AI52" s="46" t="str">
        <f t="shared" si="32"/>
        <v/>
      </c>
      <c r="AJ52" s="47">
        <f t="shared" si="14"/>
        <v>1.6616596905715496E-2</v>
      </c>
      <c r="AK52" s="61"/>
      <c r="AL52" s="22">
        <v>10</v>
      </c>
      <c r="AM52" s="48"/>
      <c r="AN52" s="48"/>
      <c r="AO52" s="48"/>
      <c r="AP52" s="48"/>
      <c r="AQ52" s="48"/>
      <c r="AR52" s="48"/>
      <c r="AS52" s="49">
        <v>5</v>
      </c>
      <c r="AT52" s="50">
        <f t="shared" si="15"/>
        <v>22500</v>
      </c>
      <c r="AU52" s="49">
        <v>20</v>
      </c>
      <c r="AV52" s="49">
        <f t="shared" si="16"/>
        <v>36000</v>
      </c>
      <c r="AW52" s="51">
        <f t="shared" si="17"/>
        <v>8.3500181462286776</v>
      </c>
      <c r="AX52" s="52">
        <f t="shared" si="28"/>
        <v>4.0000000000000036</v>
      </c>
      <c r="AY52" s="53">
        <f t="shared" si="18"/>
        <v>18000.000000000015</v>
      </c>
      <c r="AZ52" s="59">
        <f t="shared" si="29"/>
        <v>17.899999999999991</v>
      </c>
      <c r="BA52" s="59">
        <f t="shared" si="30"/>
        <v>1850</v>
      </c>
      <c r="BB52" s="53">
        <f t="shared" si="36"/>
        <v>33114.999999999985</v>
      </c>
      <c r="BC52" s="53">
        <f t="shared" si="10"/>
        <v>1.8397222222222198</v>
      </c>
      <c r="BD52" s="54">
        <f t="shared" si="20"/>
        <v>10.648072970203884</v>
      </c>
      <c r="BE52" s="89" t="s">
        <v>57</v>
      </c>
      <c r="BF52" s="54"/>
      <c r="BG52" s="55">
        <v>10</v>
      </c>
    </row>
    <row r="53" spans="7:59" x14ac:dyDescent="0.2">
      <c r="H53" s="65" t="s">
        <v>52</v>
      </c>
      <c r="I53" s="64">
        <v>0.83620000000000005</v>
      </c>
      <c r="J53" s="33">
        <f t="shared" si="21"/>
        <v>-1</v>
      </c>
      <c r="K53" s="100"/>
      <c r="L53" s="41">
        <f t="shared" si="22"/>
        <v>1966.2277309559349</v>
      </c>
      <c r="M53" s="85">
        <f t="shared" si="0"/>
        <v>10.729151271596081</v>
      </c>
      <c r="N53" s="41">
        <f t="shared" si="23"/>
        <v>1019.992312213716</v>
      </c>
      <c r="O53" s="48"/>
      <c r="P53" s="66">
        <f t="shared" si="11"/>
        <v>0</v>
      </c>
      <c r="Q53" s="41" t="str">
        <f t="shared" si="24"/>
        <v/>
      </c>
      <c r="R53" s="41" t="str">
        <f t="shared" si="31"/>
        <v/>
      </c>
      <c r="S53" s="41"/>
      <c r="T53" s="41"/>
      <c r="U53" s="67">
        <f t="shared" si="12"/>
        <v>1019.992312213716</v>
      </c>
      <c r="V53" s="41">
        <f t="shared" si="25"/>
        <v>995.81049873387133</v>
      </c>
      <c r="W53" s="41">
        <f t="shared" si="3"/>
        <v>95.06738104382984</v>
      </c>
      <c r="X53" s="41">
        <f t="shared" si="4"/>
        <v>82.984208227822606</v>
      </c>
      <c r="Y53" s="41">
        <f>(X53*$D$42)-X53</f>
        <v>33.193683291129034</v>
      </c>
      <c r="Z53" s="41">
        <f t="shared" si="5"/>
        <v>1041.1028226888377</v>
      </c>
      <c r="AA53" s="41"/>
      <c r="AB53" s="41">
        <f t="shared" si="6"/>
        <v>1007.8936715498786</v>
      </c>
      <c r="AC53" s="41">
        <f t="shared" si="7"/>
        <v>12.083172816007277</v>
      </c>
      <c r="AD53" s="87">
        <f t="shared" si="13"/>
        <v>50.395070273689683</v>
      </c>
      <c r="AE53" s="41">
        <f t="shared" si="8"/>
        <v>1998.6014239650267</v>
      </c>
      <c r="AF53" s="87"/>
      <c r="AG53" s="68"/>
      <c r="AH53" s="68"/>
      <c r="AI53" s="69" t="str">
        <f t="shared" si="32"/>
        <v/>
      </c>
      <c r="AJ53" s="70">
        <f t="shared" si="14"/>
        <v>1.6538396804826112E-2</v>
      </c>
      <c r="AK53" s="71"/>
      <c r="AL53" s="33">
        <v>11</v>
      </c>
      <c r="AM53" s="48"/>
      <c r="AN53" s="48"/>
      <c r="AO53" s="48"/>
      <c r="AP53" s="48"/>
      <c r="AQ53" s="63"/>
      <c r="AR53" s="63"/>
      <c r="AS53" s="41">
        <v>5</v>
      </c>
      <c r="AT53" s="72">
        <f t="shared" si="15"/>
        <v>22500</v>
      </c>
      <c r="AU53" s="41">
        <v>20</v>
      </c>
      <c r="AV53" s="41">
        <f t="shared" si="16"/>
        <v>36000</v>
      </c>
      <c r="AW53" s="85">
        <f t="shared" si="17"/>
        <v>8.3500181462286776</v>
      </c>
      <c r="AX53" s="85">
        <f t="shared" si="28"/>
        <v>3.9000000000000035</v>
      </c>
      <c r="AY53" s="72">
        <f t="shared" si="18"/>
        <v>17550.000000000015</v>
      </c>
      <c r="AZ53" s="41">
        <f t="shared" si="29"/>
        <v>17.689999999999991</v>
      </c>
      <c r="BA53" s="41">
        <f t="shared" si="30"/>
        <v>1855</v>
      </c>
      <c r="BB53" s="72">
        <f t="shared" si="36"/>
        <v>32814.949999999983</v>
      </c>
      <c r="BC53" s="72">
        <f t="shared" si="10"/>
        <v>1.8697977207977183</v>
      </c>
      <c r="BD53" s="86">
        <f t="shared" si="20"/>
        <v>10.729151271596081</v>
      </c>
      <c r="BE53" s="90" t="s">
        <v>57</v>
      </c>
      <c r="BF53" s="86"/>
      <c r="BG53" s="62">
        <v>11</v>
      </c>
    </row>
    <row r="54" spans="7:59" x14ac:dyDescent="0.2">
      <c r="I54" s="73">
        <v>46280</v>
      </c>
      <c r="J54" s="42">
        <v>0</v>
      </c>
      <c r="K54" s="101"/>
      <c r="L54" s="40">
        <f t="shared" si="22"/>
        <v>1998.6014239650267</v>
      </c>
      <c r="M54" s="35">
        <f t="shared" si="0"/>
        <v>10.812776972219417</v>
      </c>
      <c r="N54" s="36">
        <f t="shared" si="23"/>
        <v>1041.1028226888377</v>
      </c>
      <c r="O54" s="37"/>
      <c r="P54" s="56">
        <f>N54*O54*0.5</f>
        <v>0</v>
      </c>
      <c r="Q54" s="60" t="str">
        <f>IF(O53&gt;0,N54*O53*0.3,"")</f>
        <v/>
      </c>
      <c r="R54" s="60" t="str">
        <f>IF(O52&gt;0,N54*O52*0.2,"")</f>
        <v/>
      </c>
      <c r="S54" s="60"/>
      <c r="T54" s="60"/>
      <c r="U54" s="39">
        <f>N54-SUM(P54:T54)</f>
        <v>1041.1028226888377</v>
      </c>
      <c r="V54" s="40">
        <f t="shared" si="25"/>
        <v>1007.8936715498786</v>
      </c>
      <c r="W54" s="40">
        <f t="shared" si="3"/>
        <v>96.284499843442362</v>
      </c>
      <c r="X54" s="74">
        <f>W42</f>
        <v>75.503324148957745</v>
      </c>
      <c r="Y54" s="40">
        <f>(X54*$D$42)-X54</f>
        <v>30.201329659583095</v>
      </c>
      <c r="Z54" s="42">
        <f t="shared" si="5"/>
        <v>1050.5229766539362</v>
      </c>
      <c r="AA54" s="42">
        <f t="shared" si="26"/>
        <v>9.4201539650985069</v>
      </c>
      <c r="AB54" s="40">
        <f t="shared" si="6"/>
        <v>1028.6748472443633</v>
      </c>
      <c r="AC54" s="42">
        <f t="shared" si="7"/>
        <v>20.781175694484659</v>
      </c>
      <c r="AD54" s="43">
        <f t="shared" si="13"/>
        <v>48.678567811908266</v>
      </c>
      <c r="AE54" s="42">
        <f t="shared" si="8"/>
        <v>2030.5192560863909</v>
      </c>
      <c r="AF54" s="43">
        <f t="shared" ref="AF54" si="38">AD54</f>
        <v>48.678567811908266</v>
      </c>
      <c r="AG54" s="44"/>
      <c r="AH54" s="45">
        <f>IF($M$3="F",315*Z54/BB54,315*Z54/AV54)</f>
        <v>10.177983367965544</v>
      </c>
      <c r="AI54" s="46" t="str">
        <f t="shared" si="32"/>
        <v/>
      </c>
      <c r="AJ54" s="47">
        <f t="shared" si="14"/>
        <v>1.6464874591791266E-2</v>
      </c>
      <c r="AK54" s="34">
        <f>L54</f>
        <v>1998.6014239650267</v>
      </c>
      <c r="AL54" s="22">
        <v>12</v>
      </c>
      <c r="AM54" s="37"/>
      <c r="AN54" s="75"/>
      <c r="AO54" s="37"/>
      <c r="AP54" s="75"/>
      <c r="AQ54" s="37"/>
      <c r="AR54" s="60"/>
      <c r="AS54" s="49">
        <v>5</v>
      </c>
      <c r="AT54" s="50">
        <f t="shared" si="15"/>
        <v>22500</v>
      </c>
      <c r="AU54" s="49">
        <v>20</v>
      </c>
      <c r="AV54" s="49">
        <f t="shared" si="16"/>
        <v>36000</v>
      </c>
      <c r="AW54" s="51">
        <f t="shared" si="17"/>
        <v>8.3500181462286776</v>
      </c>
      <c r="AX54" s="52">
        <f t="shared" si="28"/>
        <v>3.8000000000000034</v>
      </c>
      <c r="AY54" s="53">
        <f t="shared" si="18"/>
        <v>17100.000000000015</v>
      </c>
      <c r="AZ54" s="59">
        <f t="shared" si="29"/>
        <v>17.47999999999999</v>
      </c>
      <c r="BA54" s="59">
        <f t="shared" si="30"/>
        <v>1860</v>
      </c>
      <c r="BB54" s="53">
        <f t="shared" si="36"/>
        <v>32512.799999999981</v>
      </c>
      <c r="BC54" s="53">
        <f t="shared" si="10"/>
        <v>1.9013333333333307</v>
      </c>
      <c r="BD54" s="52">
        <f t="shared" si="20"/>
        <v>10.812776972219417</v>
      </c>
      <c r="BE54" s="89" t="s">
        <v>57</v>
      </c>
      <c r="BF54" s="52"/>
      <c r="BG54" s="76">
        <v>46280</v>
      </c>
    </row>
    <row r="55" spans="7:59" x14ac:dyDescent="0.2">
      <c r="I55" s="73">
        <v>46281</v>
      </c>
      <c r="J55" s="42">
        <v>1</v>
      </c>
      <c r="K55" s="83"/>
      <c r="L55" s="42">
        <f t="shared" si="22"/>
        <v>2030.5192560863909</v>
      </c>
      <c r="M55" s="35">
        <f t="shared" si="0"/>
        <v>10.899108644139559</v>
      </c>
      <c r="N55" s="36">
        <f t="shared" si="23"/>
        <v>1050.5229766539362</v>
      </c>
      <c r="O55" s="8">
        <f t="shared" ref="O55:O86" si="39">IF($M$6="",0,IF($M$6="C",K55*$M$5,IF($M$6=4,AM55,IF($M$6=5,AN55,IF($M$6=7,AO55,IF($M$6=10,AP55,IF($M$6=14,AQ55,"")))))))</f>
        <v>0</v>
      </c>
      <c r="P55" s="56">
        <f>N55*O55*P$42</f>
        <v>0</v>
      </c>
      <c r="Q55" s="60" t="str">
        <f>IF(O54&gt;0,N55*O54*Q$42,"")</f>
        <v/>
      </c>
      <c r="R55" s="60" t="str">
        <f>IF(O53&gt;0,N55*O53*R$42,"")</f>
        <v/>
      </c>
      <c r="S55" s="60" t="str">
        <f>IF(O52&gt;0,N52*S$42,"")</f>
        <v/>
      </c>
      <c r="T55" s="60" t="str">
        <f>IF(O51&gt;0,N51*T$42,"")</f>
        <v/>
      </c>
      <c r="U55" s="39">
        <f t="shared" ref="U55:U114" si="40">N55-SUM(P55:T55)</f>
        <v>1050.5229766539362</v>
      </c>
      <c r="V55" s="40">
        <f t="shared" si="25"/>
        <v>1028.6748472443633</v>
      </c>
      <c r="W55" s="40">
        <f t="shared" si="3"/>
        <v>96.38613678915857</v>
      </c>
      <c r="X55" s="40">
        <f t="shared" ref="X55:X114" si="41">W43</f>
        <v>79.559687830308548</v>
      </c>
      <c r="Y55" s="40">
        <f>(X55*$D$42)-X55</f>
        <v>31.823875132123419</v>
      </c>
      <c r="Z55" s="42">
        <f t="shared" si="5"/>
        <v>1065.5204028272096</v>
      </c>
      <c r="AA55" s="42">
        <f t="shared" si="26"/>
        <v>14.997426173273425</v>
      </c>
      <c r="AB55" s="40">
        <f t="shared" si="6"/>
        <v>1045.5012962032133</v>
      </c>
      <c r="AC55" s="42">
        <f t="shared" si="7"/>
        <v>16.826448958850051</v>
      </c>
      <c r="AD55" s="43">
        <f t="shared" si="13"/>
        <v>50.130980765440974</v>
      </c>
      <c r="AE55" s="42">
        <f t="shared" si="8"/>
        <v>2060.8907182649818</v>
      </c>
      <c r="AF55" s="43"/>
      <c r="AG55" s="44"/>
      <c r="AH55" s="45"/>
      <c r="AI55" s="46" t="str">
        <f t="shared" si="32"/>
        <v/>
      </c>
      <c r="AJ55" s="47">
        <f t="shared" si="14"/>
        <v>1.5970083748885953E-2</v>
      </c>
      <c r="AK55" s="61"/>
      <c r="AL55" s="22">
        <v>13</v>
      </c>
      <c r="AM55" s="8">
        <f>$M$5</f>
        <v>0</v>
      </c>
      <c r="AN55" s="8">
        <f>$M$5</f>
        <v>0</v>
      </c>
      <c r="AO55" s="8">
        <f>$M$5</f>
        <v>0</v>
      </c>
      <c r="AP55" s="8">
        <f>$M$5</f>
        <v>0</v>
      </c>
      <c r="AQ55" s="8">
        <f>$M$5</f>
        <v>0</v>
      </c>
      <c r="AR55" s="77" t="e">
        <f t="shared" ref="AR55:AR114" si="42">IF(O55=0,NA(),1)</f>
        <v>#N/A</v>
      </c>
      <c r="AS55" s="49">
        <v>5</v>
      </c>
      <c r="AT55" s="50">
        <f t="shared" si="15"/>
        <v>22500</v>
      </c>
      <c r="AU55" s="49">
        <v>20</v>
      </c>
      <c r="AV55" s="49">
        <f t="shared" si="16"/>
        <v>36000</v>
      </c>
      <c r="AW55" s="51">
        <f t="shared" si="17"/>
        <v>8.3500181462286776</v>
      </c>
      <c r="AX55" s="52">
        <f t="shared" si="28"/>
        <v>3.7000000000000033</v>
      </c>
      <c r="AY55" s="53">
        <f t="shared" si="18"/>
        <v>16650.000000000015</v>
      </c>
      <c r="AZ55" s="59">
        <f t="shared" si="29"/>
        <v>17.269999999999989</v>
      </c>
      <c r="BA55" s="59">
        <f t="shared" si="30"/>
        <v>1865</v>
      </c>
      <c r="BB55" s="53">
        <f t="shared" si="36"/>
        <v>32208.549999999981</v>
      </c>
      <c r="BC55" s="53">
        <f t="shared" si="10"/>
        <v>1.9344474474474447</v>
      </c>
      <c r="BD55" s="52">
        <f t="shared" si="20"/>
        <v>10.899108644139559</v>
      </c>
      <c r="BE55" s="89" t="s">
        <v>57</v>
      </c>
      <c r="BF55" s="52"/>
      <c r="BG55" s="76">
        <v>46281</v>
      </c>
    </row>
    <row r="56" spans="7:59" x14ac:dyDescent="0.2">
      <c r="I56" s="73">
        <v>46282</v>
      </c>
      <c r="J56" s="42">
        <v>2</v>
      </c>
      <c r="K56" s="83"/>
      <c r="L56" s="42">
        <f t="shared" si="22"/>
        <v>2060.8907182649818</v>
      </c>
      <c r="M56" s="35">
        <f t="shared" si="0"/>
        <v>10.988318653458442</v>
      </c>
      <c r="N56" s="36">
        <f t="shared" si="23"/>
        <v>1065.5204028272096</v>
      </c>
      <c r="O56" s="8">
        <f t="shared" si="39"/>
        <v>0</v>
      </c>
      <c r="P56" s="56">
        <f t="shared" ref="P56:P114" si="43">N56*O56*P$42</f>
        <v>0</v>
      </c>
      <c r="Q56" s="60" t="str">
        <f t="shared" ref="Q56:Q114" si="44">IF(O55&gt;0,N56*O55*Q$42,"")</f>
        <v/>
      </c>
      <c r="R56" s="60" t="str">
        <f t="shared" ref="R56:R114" si="45">IF(O54&gt;0,N56*O54*R$42,"")</f>
        <v/>
      </c>
      <c r="S56" s="60" t="str">
        <f t="shared" ref="S56:S57" si="46">IF(O53&gt;0,N53*S$42,"")</f>
        <v/>
      </c>
      <c r="T56" s="60" t="str">
        <f t="shared" ref="T56:T58" si="47">IF(O52&gt;0,N52*T$42,"")</f>
        <v/>
      </c>
      <c r="U56" s="39">
        <f t="shared" si="40"/>
        <v>1065.5204028272096</v>
      </c>
      <c r="V56" s="40">
        <f t="shared" si="25"/>
        <v>1045.5012962032133</v>
      </c>
      <c r="W56" s="40">
        <f t="shared" si="3"/>
        <v>96.968465916471189</v>
      </c>
      <c r="X56" s="40">
        <f t="shared" si="41"/>
        <v>81.652443092232701</v>
      </c>
      <c r="Y56" s="40">
        <f>(X56*$D$42)-X56</f>
        <v>32.660977236893075</v>
      </c>
      <c r="Z56" s="42">
        <f t="shared" si="5"/>
        <v>1082.8653572398644</v>
      </c>
      <c r="AA56" s="42">
        <f t="shared" si="26"/>
        <v>17.344954412654715</v>
      </c>
      <c r="AB56" s="40">
        <f t="shared" si="6"/>
        <v>1060.8173190274517</v>
      </c>
      <c r="AC56" s="42">
        <f t="shared" si="7"/>
        <v>15.316022824238416</v>
      </c>
      <c r="AD56" s="43">
        <f t="shared" si="13"/>
        <v>51.133742998350051</v>
      </c>
      <c r="AE56" s="42">
        <f t="shared" si="8"/>
        <v>2092.5489332689663</v>
      </c>
      <c r="AF56" s="43">
        <f t="shared" ref="AF56" si="48">AD56</f>
        <v>51.133742998350051</v>
      </c>
      <c r="AG56" s="44" t="e">
        <f>IF(O55&gt;0,P55+Q56+L55*0.025,NA())</f>
        <v>#N/A</v>
      </c>
      <c r="AH56" s="45"/>
      <c r="AI56" s="46" t="str">
        <f t="shared" si="32"/>
        <v/>
      </c>
      <c r="AJ56" s="47">
        <f t="shared" si="14"/>
        <v>1.4957485425244721E-2</v>
      </c>
      <c r="AK56" s="61"/>
      <c r="AL56" s="22">
        <v>14</v>
      </c>
      <c r="AM56" s="8"/>
      <c r="AN56" s="8"/>
      <c r="AO56" s="8"/>
      <c r="AP56" s="8"/>
      <c r="AQ56" s="8"/>
      <c r="AR56" s="77" t="e">
        <f t="shared" si="42"/>
        <v>#N/A</v>
      </c>
      <c r="AS56" s="49">
        <v>5</v>
      </c>
      <c r="AT56" s="50">
        <f t="shared" si="15"/>
        <v>22500</v>
      </c>
      <c r="AU56" s="49">
        <v>20</v>
      </c>
      <c r="AV56" s="49">
        <f t="shared" si="16"/>
        <v>36000</v>
      </c>
      <c r="AW56" s="51">
        <f t="shared" si="17"/>
        <v>8.3500181462286776</v>
      </c>
      <c r="AX56" s="52">
        <f t="shared" si="28"/>
        <v>3.6000000000000032</v>
      </c>
      <c r="AY56" s="53">
        <f t="shared" si="18"/>
        <v>16200.000000000015</v>
      </c>
      <c r="AZ56" s="59">
        <f t="shared" si="29"/>
        <v>17.059999999999988</v>
      </c>
      <c r="BA56" s="59">
        <f t="shared" si="30"/>
        <v>1870</v>
      </c>
      <c r="BB56" s="53">
        <f t="shared" si="36"/>
        <v>31902.199999999979</v>
      </c>
      <c r="BC56" s="53">
        <f t="shared" si="10"/>
        <v>1.9692716049382686</v>
      </c>
      <c r="BD56" s="52">
        <f t="shared" si="20"/>
        <v>10.988318653458442</v>
      </c>
      <c r="BE56" s="89" t="s">
        <v>57</v>
      </c>
      <c r="BF56" s="52"/>
      <c r="BG56" s="76">
        <v>46282</v>
      </c>
    </row>
    <row r="57" spans="7:59" x14ac:dyDescent="0.2">
      <c r="G57" s="78"/>
      <c r="I57" s="73">
        <v>46283</v>
      </c>
      <c r="J57" s="42">
        <v>3</v>
      </c>
      <c r="K57" s="83">
        <v>1</v>
      </c>
      <c r="L57" s="42">
        <f t="shared" si="22"/>
        <v>2092.5489332689663</v>
      </c>
      <c r="M57" s="35">
        <f t="shared" si="0"/>
        <v>11.080594754745505</v>
      </c>
      <c r="N57" s="36">
        <f t="shared" si="23"/>
        <v>1082.8653572398644</v>
      </c>
      <c r="O57" s="8">
        <f t="shared" si="39"/>
        <v>0</v>
      </c>
      <c r="P57" s="56">
        <f t="shared" si="43"/>
        <v>0</v>
      </c>
      <c r="Q57" s="60" t="str">
        <f t="shared" si="44"/>
        <v/>
      </c>
      <c r="R57" s="60" t="str">
        <f>IF(O55&gt;0,N57*O55*R$42,"")</f>
        <v/>
      </c>
      <c r="S57" s="60" t="str">
        <f t="shared" si="46"/>
        <v/>
      </c>
      <c r="T57" s="60" t="str">
        <f t="shared" si="47"/>
        <v/>
      </c>
      <c r="U57" s="39">
        <f t="shared" si="40"/>
        <v>1082.8653572398644</v>
      </c>
      <c r="V57" s="40">
        <f t="shared" si="25"/>
        <v>1060.8173190274517</v>
      </c>
      <c r="W57" s="40">
        <f t="shared" si="3"/>
        <v>97.726284663203998</v>
      </c>
      <c r="X57" s="40">
        <f t="shared" si="41"/>
        <v>83.546391545465667</v>
      </c>
      <c r="Y57" s="40">
        <f>(X57*$D$42)-X57</f>
        <v>33.418556618186258</v>
      </c>
      <c r="Z57" s="42">
        <f t="shared" si="5"/>
        <v>1102.1040207403125</v>
      </c>
      <c r="AA57" s="42">
        <f t="shared" si="26"/>
        <v>19.238663500448183</v>
      </c>
      <c r="AB57" s="40">
        <f t="shared" si="6"/>
        <v>1074.9972121451901</v>
      </c>
      <c r="AC57" s="42">
        <f t="shared" si="7"/>
        <v>14.179893117738402</v>
      </c>
      <c r="AD57" s="43">
        <f>(N57+X57*12)*0.025</f>
        <v>52.135551394636309</v>
      </c>
      <c r="AE57" s="42">
        <f t="shared" si="8"/>
        <v>2124.9656814908662</v>
      </c>
      <c r="AF57" s="43"/>
      <c r="AG57" s="44" t="e">
        <f t="shared" ref="AG57:AG114" si="49">IF(O56&gt;0,P56+Q57+L56*0.025,NA())</f>
        <v>#N/A</v>
      </c>
      <c r="AH57" s="45"/>
      <c r="AI57" s="46" t="str">
        <f t="shared" si="32"/>
        <v/>
      </c>
      <c r="AJ57" s="47">
        <f t="shared" si="14"/>
        <v>1.5361423448321788E-2</v>
      </c>
      <c r="AK57" s="34"/>
      <c r="AL57" s="22">
        <v>15</v>
      </c>
      <c r="AM57" s="8"/>
      <c r="AN57" s="8"/>
      <c r="AO57" s="8"/>
      <c r="AP57" s="8"/>
      <c r="AQ57" s="8"/>
      <c r="AR57" s="77" t="e">
        <f t="shared" si="42"/>
        <v>#N/A</v>
      </c>
      <c r="AS57" s="49">
        <v>5</v>
      </c>
      <c r="AT57" s="50">
        <f t="shared" si="15"/>
        <v>22500</v>
      </c>
      <c r="AU57" s="49">
        <v>20</v>
      </c>
      <c r="AV57" s="49">
        <f t="shared" si="16"/>
        <v>36000</v>
      </c>
      <c r="AW57" s="51">
        <f t="shared" si="17"/>
        <v>8.3500181462286776</v>
      </c>
      <c r="AX57" s="52">
        <f t="shared" si="28"/>
        <v>3.5000000000000031</v>
      </c>
      <c r="AY57" s="53">
        <f t="shared" si="18"/>
        <v>15750.000000000015</v>
      </c>
      <c r="AZ57" s="59">
        <f t="shared" si="29"/>
        <v>16.849999999999987</v>
      </c>
      <c r="BA57" s="59">
        <f t="shared" si="30"/>
        <v>1875</v>
      </c>
      <c r="BB57" s="53">
        <f t="shared" si="36"/>
        <v>31593.749999999975</v>
      </c>
      <c r="BC57" s="53">
        <f t="shared" si="10"/>
        <v>2.0059523809523774</v>
      </c>
      <c r="BD57" s="52">
        <f t="shared" si="20"/>
        <v>11.080594754745505</v>
      </c>
      <c r="BE57" s="89" t="s">
        <v>57</v>
      </c>
      <c r="BF57" s="52"/>
      <c r="BG57" s="76">
        <v>46283</v>
      </c>
    </row>
    <row r="58" spans="7:59" x14ac:dyDescent="0.2">
      <c r="I58" s="73">
        <v>46284</v>
      </c>
      <c r="J58" s="42">
        <v>4</v>
      </c>
      <c r="K58" s="83"/>
      <c r="L58" s="42">
        <f t="shared" si="22"/>
        <v>2124.9656814908662</v>
      </c>
      <c r="M58" s="35">
        <f t="shared" si="0"/>
        <v>11.176141919182644</v>
      </c>
      <c r="N58" s="36">
        <f t="shared" si="23"/>
        <v>1102.1040207403125</v>
      </c>
      <c r="O58" s="8">
        <f t="shared" si="39"/>
        <v>0</v>
      </c>
      <c r="P58" s="56">
        <f t="shared" si="43"/>
        <v>0</v>
      </c>
      <c r="Q58" s="60" t="str">
        <f t="shared" si="44"/>
        <v/>
      </c>
      <c r="R58" s="60" t="str">
        <f t="shared" si="45"/>
        <v/>
      </c>
      <c r="S58" s="60" t="str">
        <f>IF(O55&gt;0,N55*O55*S$42,"")</f>
        <v/>
      </c>
      <c r="T58" s="60" t="str">
        <f t="shared" si="47"/>
        <v/>
      </c>
      <c r="U58" s="39">
        <f t="shared" si="40"/>
        <v>1102.1040207403125</v>
      </c>
      <c r="V58" s="40">
        <f t="shared" si="25"/>
        <v>1074.9972121451901</v>
      </c>
      <c r="W58" s="40">
        <f t="shared" si="3"/>
        <v>98.612207030824266</v>
      </c>
      <c r="X58" s="40">
        <f>W46</f>
        <v>85.283327581690401</v>
      </c>
      <c r="Y58" s="40">
        <f>(X58*$D$42)-X58</f>
        <v>34.113331032676157</v>
      </c>
      <c r="Z58" s="42">
        <f t="shared" si="5"/>
        <v>1122.8884723238548</v>
      </c>
      <c r="AA58" s="42">
        <f t="shared" si="26"/>
        <v>20.78445158354225</v>
      </c>
      <c r="AB58" s="40">
        <f t="shared" si="6"/>
        <v>1088.326091594324</v>
      </c>
      <c r="AC58" s="42">
        <f t="shared" si="7"/>
        <v>13.328879449133865</v>
      </c>
      <c r="AD58" s="43">
        <f t="shared" si="13"/>
        <v>53.137598793014938</v>
      </c>
      <c r="AE58" s="42">
        <f t="shared" si="8"/>
        <v>2158.076965125164</v>
      </c>
      <c r="AF58" s="43">
        <f t="shared" ref="AF58" si="50">AD58</f>
        <v>53.137598793014938</v>
      </c>
      <c r="AG58" s="44" t="e">
        <f t="shared" si="49"/>
        <v>#N/A</v>
      </c>
      <c r="AH58" s="45"/>
      <c r="AI58" s="46" t="str">
        <f t="shared" si="32"/>
        <v/>
      </c>
      <c r="AJ58" s="47">
        <f t="shared" si="14"/>
        <v>1.5491512626784191E-2</v>
      </c>
      <c r="AK58" s="61"/>
      <c r="AL58" s="22">
        <v>16</v>
      </c>
      <c r="AM58" s="8"/>
      <c r="AN58" s="8"/>
      <c r="AO58" s="8"/>
      <c r="AP58" s="8"/>
      <c r="AQ58" s="8"/>
      <c r="AR58" s="77" t="e">
        <f t="shared" si="42"/>
        <v>#N/A</v>
      </c>
      <c r="AS58" s="49">
        <v>5</v>
      </c>
      <c r="AT58" s="50">
        <f t="shared" si="15"/>
        <v>22500</v>
      </c>
      <c r="AU58" s="49">
        <v>20</v>
      </c>
      <c r="AV58" s="49">
        <f t="shared" si="16"/>
        <v>36000</v>
      </c>
      <c r="AW58" s="51">
        <f t="shared" si="17"/>
        <v>8.3500181462286776</v>
      </c>
      <c r="AX58" s="52">
        <f t="shared" si="28"/>
        <v>3.400000000000003</v>
      </c>
      <c r="AY58" s="53">
        <f t="shared" si="18"/>
        <v>15300.000000000013</v>
      </c>
      <c r="AZ58" s="59">
        <f t="shared" si="29"/>
        <v>16.639999999999986</v>
      </c>
      <c r="BA58" s="59">
        <f t="shared" si="30"/>
        <v>1880</v>
      </c>
      <c r="BB58" s="53">
        <f t="shared" si="36"/>
        <v>31283.199999999975</v>
      </c>
      <c r="BC58" s="53">
        <f t="shared" si="10"/>
        <v>2.0446535947712383</v>
      </c>
      <c r="BD58" s="52">
        <f t="shared" si="20"/>
        <v>11.176141919182644</v>
      </c>
      <c r="BE58" s="89" t="s">
        <v>57</v>
      </c>
      <c r="BF58" s="52"/>
      <c r="BG58" s="76">
        <v>46284</v>
      </c>
    </row>
    <row r="59" spans="7:59" x14ac:dyDescent="0.2">
      <c r="I59" s="73">
        <v>46285</v>
      </c>
      <c r="J59" s="42">
        <v>5</v>
      </c>
      <c r="K59" s="83"/>
      <c r="L59" s="42">
        <f t="shared" si="22"/>
        <v>2158.076965125164</v>
      </c>
      <c r="M59" s="35">
        <f t="shared" si="0"/>
        <v>11.275184438502201</v>
      </c>
      <c r="N59" s="36">
        <f t="shared" si="23"/>
        <v>1122.8884723238548</v>
      </c>
      <c r="O59" s="8">
        <f t="shared" si="39"/>
        <v>0</v>
      </c>
      <c r="P59" s="56">
        <f t="shared" si="43"/>
        <v>0</v>
      </c>
      <c r="Q59" s="60" t="str">
        <f t="shared" si="44"/>
        <v/>
      </c>
      <c r="R59" s="60" t="str">
        <f t="shared" si="45"/>
        <v/>
      </c>
      <c r="S59" s="60" t="str">
        <f t="shared" ref="S59:S114" si="51">IF(O56&gt;0,N56*O56*S$42,"")</f>
        <v/>
      </c>
      <c r="T59" s="60" t="str">
        <f>IF(O55&gt;0,N55*O55*T$42,"")</f>
        <v/>
      </c>
      <c r="U59" s="39">
        <f t="shared" si="40"/>
        <v>1122.8884723238548</v>
      </c>
      <c r="V59" s="40">
        <f t="shared" si="25"/>
        <v>1088.326091594324</v>
      </c>
      <c r="W59" s="40">
        <f t="shared" si="3"/>
        <v>99.589366227078727</v>
      </c>
      <c r="X59" s="40">
        <f t="shared" si="41"/>
        <v>86.896031830135655</v>
      </c>
      <c r="Y59" s="40">
        <f>(X59*$D$42)-X59</f>
        <v>34.758412732054254</v>
      </c>
      <c r="Z59" s="42">
        <f t="shared" si="5"/>
        <v>1144.9535506589659</v>
      </c>
      <c r="AA59" s="42">
        <f t="shared" si="26"/>
        <v>22.065078335111139</v>
      </c>
      <c r="AB59" s="40">
        <f t="shared" si="6"/>
        <v>1101.0194259912671</v>
      </c>
      <c r="AC59" s="42">
        <f t="shared" si="7"/>
        <v>12.693334396943101</v>
      </c>
      <c r="AD59" s="43">
        <f t="shared" si="13"/>
        <v>54.141021357137063</v>
      </c>
      <c r="AE59" s="42">
        <f t="shared" si="8"/>
        <v>2191.8319552930961</v>
      </c>
      <c r="AF59" s="43"/>
      <c r="AG59" s="44" t="e">
        <f t="shared" si="49"/>
        <v>#N/A</v>
      </c>
      <c r="AH59" s="45"/>
      <c r="AI59" s="46" t="str">
        <f t="shared" si="32"/>
        <v/>
      </c>
      <c r="AJ59" s="47">
        <f t="shared" si="14"/>
        <v>1.5582032181840687E-2</v>
      </c>
      <c r="AK59" s="61"/>
      <c r="AL59" s="22">
        <v>17</v>
      </c>
      <c r="AM59" s="8">
        <f>$M$5</f>
        <v>0</v>
      </c>
      <c r="AN59" s="8"/>
      <c r="AO59" s="8"/>
      <c r="AP59" s="8"/>
      <c r="AQ59" s="79"/>
      <c r="AR59" s="77" t="e">
        <f t="shared" si="42"/>
        <v>#N/A</v>
      </c>
      <c r="AS59" s="49">
        <v>5</v>
      </c>
      <c r="AT59" s="50">
        <f t="shared" si="15"/>
        <v>22500</v>
      </c>
      <c r="AU59" s="49">
        <v>20</v>
      </c>
      <c r="AV59" s="49">
        <f t="shared" si="16"/>
        <v>36000</v>
      </c>
      <c r="AW59" s="51">
        <f t="shared" si="17"/>
        <v>8.3500181462286776</v>
      </c>
      <c r="AX59" s="52">
        <f t="shared" si="28"/>
        <v>3.3000000000000029</v>
      </c>
      <c r="AY59" s="53">
        <f t="shared" si="18"/>
        <v>14850.000000000013</v>
      </c>
      <c r="AZ59" s="59">
        <f t="shared" si="29"/>
        <v>16.429999999999986</v>
      </c>
      <c r="BA59" s="59">
        <f t="shared" si="30"/>
        <v>1885</v>
      </c>
      <c r="BB59" s="53">
        <f t="shared" si="36"/>
        <v>30970.549999999974</v>
      </c>
      <c r="BC59" s="53">
        <f t="shared" si="10"/>
        <v>2.0855589225589188</v>
      </c>
      <c r="BD59" s="52">
        <f t="shared" si="20"/>
        <v>11.275184438502201</v>
      </c>
      <c r="BE59" s="89" t="s">
        <v>57</v>
      </c>
      <c r="BF59" s="52"/>
      <c r="BG59" s="76">
        <v>46285</v>
      </c>
    </row>
    <row r="60" spans="7:59" x14ac:dyDescent="0.2">
      <c r="I60" s="73">
        <v>46286</v>
      </c>
      <c r="J60" s="42">
        <v>6</v>
      </c>
      <c r="K60" s="83">
        <v>1</v>
      </c>
      <c r="L60" s="42">
        <f t="shared" si="22"/>
        <v>2191.8319552930961</v>
      </c>
      <c r="M60" s="35">
        <f t="shared" si="0"/>
        <v>11.377968355884304</v>
      </c>
      <c r="N60" s="36">
        <f t="shared" si="23"/>
        <v>1144.9535506589659</v>
      </c>
      <c r="O60" s="8">
        <f t="shared" si="39"/>
        <v>0</v>
      </c>
      <c r="P60" s="56">
        <f t="shared" si="43"/>
        <v>0</v>
      </c>
      <c r="Q60" s="60" t="str">
        <f t="shared" si="44"/>
        <v/>
      </c>
      <c r="R60" s="60" t="str">
        <f t="shared" si="45"/>
        <v/>
      </c>
      <c r="S60" s="60" t="str">
        <f t="shared" si="51"/>
        <v/>
      </c>
      <c r="T60" s="60" t="str">
        <f t="shared" ref="T60:T114" si="52">IF(O56&gt;0,N56*O56*T$42,"")</f>
        <v/>
      </c>
      <c r="U60" s="39">
        <f t="shared" si="40"/>
        <v>1144.9535506589659</v>
      </c>
      <c r="V60" s="40">
        <f t="shared" si="25"/>
        <v>1101.0194259912671</v>
      </c>
      <c r="W60" s="40">
        <f t="shared" si="3"/>
        <v>100.62899762476789</v>
      </c>
      <c r="X60" s="40">
        <f>W48</f>
        <v>88.410178150931742</v>
      </c>
      <c r="Y60" s="40">
        <f>(X60*$D$42)-X60</f>
        <v>35.364071260372683</v>
      </c>
      <c r="Z60" s="42">
        <f t="shared" si="5"/>
        <v>1168.0988024455023</v>
      </c>
      <c r="AA60" s="42">
        <f t="shared" si="26"/>
        <v>23.145251786536392</v>
      </c>
      <c r="AB60" s="40">
        <f t="shared" si="6"/>
        <v>1113.2382454651033</v>
      </c>
      <c r="AC60" s="42">
        <f t="shared" si="7"/>
        <v>12.21881947383622</v>
      </c>
      <c r="AD60" s="43">
        <f t="shared" si="13"/>
        <v>55.146892211753681</v>
      </c>
      <c r="AE60" s="42">
        <f t="shared" si="8"/>
        <v>2226.1901556988519</v>
      </c>
      <c r="AF60" s="43">
        <f t="shared" ref="AF60" si="53">AD60</f>
        <v>55.146892211753681</v>
      </c>
      <c r="AG60" s="44" t="e">
        <f t="shared" si="49"/>
        <v>#N/A</v>
      </c>
      <c r="AH60" s="45"/>
      <c r="AI60" s="46" t="str">
        <f>IF(O58&gt;0,SUM(P58:R60)/L58,"")</f>
        <v/>
      </c>
      <c r="AJ60" s="47">
        <f t="shared" si="14"/>
        <v>1.5641235559907138E-2</v>
      </c>
      <c r="AK60" s="34">
        <f>L60</f>
        <v>2191.8319552930961</v>
      </c>
      <c r="AL60" s="22">
        <v>18</v>
      </c>
      <c r="AM60" s="8"/>
      <c r="AN60" s="8">
        <f>$M$5</f>
        <v>0</v>
      </c>
      <c r="AO60" s="79"/>
      <c r="AP60" s="79"/>
      <c r="AQ60" s="8"/>
      <c r="AR60" s="77" t="e">
        <f t="shared" si="42"/>
        <v>#N/A</v>
      </c>
      <c r="AS60" s="49">
        <v>5</v>
      </c>
      <c r="AT60" s="50">
        <f t="shared" si="15"/>
        <v>22500</v>
      </c>
      <c r="AU60" s="49">
        <v>20</v>
      </c>
      <c r="AV60" s="49">
        <f t="shared" si="16"/>
        <v>36000</v>
      </c>
      <c r="AW60" s="51">
        <f t="shared" si="17"/>
        <v>8.3500181462286776</v>
      </c>
      <c r="AX60" s="52">
        <f t="shared" si="28"/>
        <v>3.2000000000000028</v>
      </c>
      <c r="AY60" s="53">
        <f t="shared" si="18"/>
        <v>14400.000000000013</v>
      </c>
      <c r="AZ60" s="59">
        <f t="shared" si="29"/>
        <v>16.219999999999985</v>
      </c>
      <c r="BA60" s="59">
        <f t="shared" si="30"/>
        <v>1890</v>
      </c>
      <c r="BB60" s="53">
        <f t="shared" si="36"/>
        <v>30655.79999999997</v>
      </c>
      <c r="BC60" s="53">
        <f t="shared" si="10"/>
        <v>2.1288749999999959</v>
      </c>
      <c r="BD60" s="52">
        <f t="shared" si="20"/>
        <v>11.377968355884304</v>
      </c>
      <c r="BE60" s="89" t="s">
        <v>57</v>
      </c>
      <c r="BF60" s="52"/>
      <c r="BG60" s="76">
        <v>46286</v>
      </c>
    </row>
    <row r="61" spans="7:59" x14ac:dyDescent="0.2">
      <c r="I61" s="73">
        <v>46287</v>
      </c>
      <c r="J61" s="42">
        <v>7</v>
      </c>
      <c r="K61" s="83"/>
      <c r="L61" s="42">
        <f t="shared" si="22"/>
        <v>2226.1901556988519</v>
      </c>
      <c r="M61" s="35">
        <f t="shared" si="0"/>
        <v>11.484764286378182</v>
      </c>
      <c r="N61" s="36">
        <f t="shared" si="23"/>
        <v>1168.0988024455023</v>
      </c>
      <c r="O61" s="8">
        <f t="shared" si="39"/>
        <v>0</v>
      </c>
      <c r="P61" s="56">
        <f t="shared" si="43"/>
        <v>0</v>
      </c>
      <c r="Q61" s="60" t="str">
        <f t="shared" si="44"/>
        <v/>
      </c>
      <c r="R61" s="60" t="str">
        <f t="shared" si="45"/>
        <v/>
      </c>
      <c r="S61" s="60" t="str">
        <f t="shared" si="51"/>
        <v/>
      </c>
      <c r="T61" s="60" t="str">
        <f t="shared" si="52"/>
        <v/>
      </c>
      <c r="U61" s="39">
        <f t="shared" si="40"/>
        <v>1168.0988024455023</v>
      </c>
      <c r="V61" s="40">
        <f t="shared" si="25"/>
        <v>1113.2382454651033</v>
      </c>
      <c r="W61" s="40">
        <f t="shared" si="3"/>
        <v>101.70855694713367</v>
      </c>
      <c r="X61" s="40">
        <f t="shared" si="41"/>
        <v>89.845829131524042</v>
      </c>
      <c r="Y61" s="40">
        <f>(X61*$D$42)-X61</f>
        <v>35.938331652609605</v>
      </c>
      <c r="Z61" s="42">
        <f t="shared" si="5"/>
        <v>1192.1744062825021</v>
      </c>
      <c r="AA61" s="42">
        <f t="shared" si="26"/>
        <v>24.07560383699979</v>
      </c>
      <c r="AB61" s="40">
        <f t="shared" si="6"/>
        <v>1125.1009732807129</v>
      </c>
      <c r="AC61" s="42">
        <f t="shared" si="7"/>
        <v>11.86272781560956</v>
      </c>
      <c r="AD61" s="43">
        <f t="shared" si="13"/>
        <v>56.156218800594779</v>
      </c>
      <c r="AE61" s="42">
        <f t="shared" si="8"/>
        <v>2261.1191607626206</v>
      </c>
      <c r="AF61" s="43"/>
      <c r="AG61" s="44" t="e">
        <f t="shared" si="49"/>
        <v>#N/A</v>
      </c>
      <c r="AH61" s="45"/>
      <c r="AI61" s="46" t="str">
        <f t="shared" si="32"/>
        <v/>
      </c>
      <c r="AJ61" s="47">
        <f t="shared" si="14"/>
        <v>1.5675563230467308E-2</v>
      </c>
      <c r="AK61" s="61"/>
      <c r="AL61" s="22">
        <v>19</v>
      </c>
      <c r="AM61" s="8"/>
      <c r="AN61" s="8"/>
      <c r="AO61" s="8"/>
      <c r="AP61" s="8"/>
      <c r="AQ61" s="79"/>
      <c r="AR61" s="77" t="e">
        <f t="shared" si="42"/>
        <v>#N/A</v>
      </c>
      <c r="AS61" s="49">
        <v>5</v>
      </c>
      <c r="AT61" s="50">
        <f t="shared" si="15"/>
        <v>22500</v>
      </c>
      <c r="AU61" s="49">
        <v>20</v>
      </c>
      <c r="AV61" s="49">
        <f t="shared" si="16"/>
        <v>36000</v>
      </c>
      <c r="AW61" s="51">
        <f t="shared" si="17"/>
        <v>8.3500181462286776</v>
      </c>
      <c r="AX61" s="52">
        <f t="shared" si="28"/>
        <v>3.1000000000000028</v>
      </c>
      <c r="AY61" s="53">
        <f t="shared" si="18"/>
        <v>13950.000000000013</v>
      </c>
      <c r="AZ61" s="59">
        <f t="shared" si="29"/>
        <v>16.009999999999984</v>
      </c>
      <c r="BA61" s="59">
        <f t="shared" si="30"/>
        <v>1895</v>
      </c>
      <c r="BB61" s="53">
        <f t="shared" si="36"/>
        <v>30338.949999999968</v>
      </c>
      <c r="BC61" s="53">
        <f t="shared" si="10"/>
        <v>2.1748351254480243</v>
      </c>
      <c r="BD61" s="52">
        <f t="shared" si="20"/>
        <v>11.484764286378182</v>
      </c>
      <c r="BE61" s="89" t="s">
        <v>57</v>
      </c>
      <c r="BF61" s="52"/>
      <c r="BG61" s="76">
        <v>46287</v>
      </c>
    </row>
    <row r="62" spans="7:59" x14ac:dyDescent="0.2">
      <c r="I62" s="73">
        <v>46288</v>
      </c>
      <c r="J62" s="42">
        <v>8</v>
      </c>
      <c r="K62" s="83"/>
      <c r="L62" s="42">
        <f t="shared" si="22"/>
        <v>2261.1191607626206</v>
      </c>
      <c r="M62" s="35">
        <f t="shared" si="0"/>
        <v>11.59587070380465</v>
      </c>
      <c r="N62" s="36">
        <f t="shared" si="23"/>
        <v>1192.1744062825021</v>
      </c>
      <c r="O62" s="8">
        <f t="shared" si="39"/>
        <v>0</v>
      </c>
      <c r="P62" s="56">
        <f t="shared" si="43"/>
        <v>0</v>
      </c>
      <c r="Q62" s="60" t="str">
        <f t="shared" si="44"/>
        <v/>
      </c>
      <c r="R62" s="60" t="str">
        <f t="shared" si="45"/>
        <v/>
      </c>
      <c r="S62" s="60" t="str">
        <f t="shared" si="51"/>
        <v/>
      </c>
      <c r="T62" s="60" t="str">
        <f t="shared" si="52"/>
        <v/>
      </c>
      <c r="U62" s="39">
        <f t="shared" si="40"/>
        <v>1192.1744062825021</v>
      </c>
      <c r="V62" s="40">
        <f t="shared" si="25"/>
        <v>1125.1009732807129</v>
      </c>
      <c r="W62" s="40">
        <f t="shared" si="3"/>
        <v>102.8102534716384</v>
      </c>
      <c r="X62" s="40">
        <f t="shared" si="41"/>
        <v>91.218609240321385</v>
      </c>
      <c r="Y62" s="40">
        <f>(X62*$D$42)-X62</f>
        <v>36.487443696128551</v>
      </c>
      <c r="Z62" s="42">
        <f t="shared" si="5"/>
        <v>1217.0702057473138</v>
      </c>
      <c r="AA62" s="42">
        <f t="shared" si="26"/>
        <v>24.895799464811716</v>
      </c>
      <c r="AB62" s="40">
        <f t="shared" si="6"/>
        <v>1136.6926175120298</v>
      </c>
      <c r="AC62" s="42">
        <f t="shared" si="7"/>
        <v>11.591644231316877</v>
      </c>
      <c r="AD62" s="43">
        <f t="shared" si="13"/>
        <v>57.169942929158971</v>
      </c>
      <c r="AE62" s="42">
        <f t="shared" si="8"/>
        <v>2296.5928803301845</v>
      </c>
      <c r="AF62" s="43">
        <f t="shared" ref="AF62" si="54">AD62</f>
        <v>57.169942929158971</v>
      </c>
      <c r="AG62" s="44" t="e">
        <f t="shared" si="49"/>
        <v>#N/A</v>
      </c>
      <c r="AH62" s="45">
        <f>IF($M$3="F",315*Z62/BB62,315*Z62/AV62)</f>
        <v>12.770723344783619</v>
      </c>
      <c r="AI62" s="46" t="str">
        <f t="shared" si="32"/>
        <v/>
      </c>
      <c r="AJ62" s="47">
        <f t="shared" si="14"/>
        <v>1.5690036618998395E-2</v>
      </c>
      <c r="AK62" s="61"/>
      <c r="AL62" s="22">
        <v>20</v>
      </c>
      <c r="AM62" s="8"/>
      <c r="AN62" s="8"/>
      <c r="AO62" s="8">
        <f>$M$5</f>
        <v>0</v>
      </c>
      <c r="AP62" s="79"/>
      <c r="AQ62" s="8"/>
      <c r="AR62" s="77" t="e">
        <f t="shared" si="42"/>
        <v>#N/A</v>
      </c>
      <c r="AS62" s="49">
        <v>5</v>
      </c>
      <c r="AT62" s="50">
        <f t="shared" si="15"/>
        <v>22500</v>
      </c>
      <c r="AU62" s="49">
        <v>20</v>
      </c>
      <c r="AV62" s="49">
        <f t="shared" si="16"/>
        <v>36000</v>
      </c>
      <c r="AW62" s="51">
        <f t="shared" si="17"/>
        <v>8.3500181462286776</v>
      </c>
      <c r="AX62" s="52">
        <f t="shared" si="28"/>
        <v>3.0000000000000027</v>
      </c>
      <c r="AY62" s="53">
        <f t="shared" si="18"/>
        <v>13500.000000000013</v>
      </c>
      <c r="AZ62" s="59">
        <f t="shared" si="29"/>
        <v>15.799999999999983</v>
      </c>
      <c r="BA62" s="59">
        <f t="shared" si="30"/>
        <v>1900</v>
      </c>
      <c r="BB62" s="53">
        <f t="shared" si="36"/>
        <v>30019.999999999967</v>
      </c>
      <c r="BC62" s="53">
        <f t="shared" si="10"/>
        <v>2.2237037037036993</v>
      </c>
      <c r="BD62" s="52">
        <f t="shared" si="20"/>
        <v>11.59587070380465</v>
      </c>
      <c r="BE62" s="89" t="s">
        <v>57</v>
      </c>
      <c r="BF62" s="52"/>
      <c r="BG62" s="76">
        <v>46288</v>
      </c>
    </row>
    <row r="63" spans="7:59" x14ac:dyDescent="0.2">
      <c r="I63" s="73">
        <v>46289</v>
      </c>
      <c r="J63" s="42">
        <v>9</v>
      </c>
      <c r="K63" s="83">
        <v>1</v>
      </c>
      <c r="L63" s="42">
        <f t="shared" si="22"/>
        <v>2296.5928803301845</v>
      </c>
      <c r="M63" s="35">
        <f t="shared" si="0"/>
        <v>11.711617789398225</v>
      </c>
      <c r="N63" s="36">
        <f t="shared" si="23"/>
        <v>1217.0702057473138</v>
      </c>
      <c r="O63" s="8">
        <f t="shared" si="39"/>
        <v>0</v>
      </c>
      <c r="P63" s="56">
        <f t="shared" si="43"/>
        <v>0</v>
      </c>
      <c r="Q63" s="60" t="str">
        <f t="shared" si="44"/>
        <v/>
      </c>
      <c r="R63" s="60" t="str">
        <f t="shared" si="45"/>
        <v/>
      </c>
      <c r="S63" s="60" t="str">
        <f t="shared" si="51"/>
        <v/>
      </c>
      <c r="T63" s="60" t="str">
        <f t="shared" si="52"/>
        <v/>
      </c>
      <c r="U63" s="39">
        <f t="shared" si="40"/>
        <v>1217.0702057473138</v>
      </c>
      <c r="V63" s="40">
        <f t="shared" si="25"/>
        <v>1136.6926175120298</v>
      </c>
      <c r="W63" s="40">
        <f t="shared" si="3"/>
        <v>103.91990480162777</v>
      </c>
      <c r="X63" s="40">
        <f t="shared" si="41"/>
        <v>92.540625271115417</v>
      </c>
      <c r="Y63" s="40">
        <f>(X63*$D$42)-X63</f>
        <v>37.016250108446158</v>
      </c>
      <c r="Z63" s="42">
        <f t="shared" si="5"/>
        <v>1242.7071763252477</v>
      </c>
      <c r="AA63" s="42">
        <f t="shared" si="26"/>
        <v>25.63697057793388</v>
      </c>
      <c r="AB63" s="40">
        <f t="shared" si="6"/>
        <v>1148.0718970425421</v>
      </c>
      <c r="AC63" s="42">
        <f t="shared" si="7"/>
        <v>11.379279530512349</v>
      </c>
      <c r="AD63" s="43">
        <f t="shared" si="13"/>
        <v>58.188942725017483</v>
      </c>
      <c r="AE63" s="42">
        <f t="shared" si="8"/>
        <v>2332.5901306427722</v>
      </c>
      <c r="AF63" s="43"/>
      <c r="AG63" s="44" t="e">
        <f t="shared" si="49"/>
        <v>#N/A</v>
      </c>
      <c r="AH63" s="45"/>
      <c r="AI63" s="46" t="str">
        <f t="shared" si="32"/>
        <v/>
      </c>
      <c r="AJ63" s="47">
        <f t="shared" si="14"/>
        <v>1.5688567052609226E-2</v>
      </c>
      <c r="AK63" s="34"/>
      <c r="AL63" s="22">
        <v>21</v>
      </c>
      <c r="AM63" s="8">
        <f>$M$5</f>
        <v>0</v>
      </c>
      <c r="AN63" s="8"/>
      <c r="AO63" s="8"/>
      <c r="AP63" s="8"/>
      <c r="AQ63" s="8"/>
      <c r="AR63" s="77" t="e">
        <f t="shared" si="42"/>
        <v>#N/A</v>
      </c>
      <c r="AS63" s="49">
        <v>5</v>
      </c>
      <c r="AT63" s="50">
        <f t="shared" si="15"/>
        <v>22500</v>
      </c>
      <c r="AU63" s="49">
        <v>20</v>
      </c>
      <c r="AV63" s="49">
        <f t="shared" si="16"/>
        <v>36000</v>
      </c>
      <c r="AW63" s="51">
        <f t="shared" si="17"/>
        <v>8.3500181462286776</v>
      </c>
      <c r="AX63" s="52">
        <f t="shared" si="28"/>
        <v>2.9000000000000026</v>
      </c>
      <c r="AY63" s="53">
        <f t="shared" si="18"/>
        <v>13050.000000000011</v>
      </c>
      <c r="AZ63" s="59">
        <f t="shared" si="29"/>
        <v>15.589999999999982</v>
      </c>
      <c r="BA63" s="59">
        <f t="shared" si="30"/>
        <v>1905</v>
      </c>
      <c r="BB63" s="53">
        <f t="shared" si="36"/>
        <v>29698.949999999964</v>
      </c>
      <c r="BC63" s="53">
        <f t="shared" si="10"/>
        <v>2.2757816091953975</v>
      </c>
      <c r="BD63" s="52">
        <f t="shared" si="20"/>
        <v>11.711617789398225</v>
      </c>
      <c r="BE63" s="89" t="s">
        <v>57</v>
      </c>
      <c r="BF63" s="52"/>
      <c r="BG63" s="76">
        <v>46289</v>
      </c>
    </row>
    <row r="64" spans="7:59" x14ac:dyDescent="0.2">
      <c r="I64" s="73">
        <v>46290</v>
      </c>
      <c r="J64" s="42">
        <v>10</v>
      </c>
      <c r="K64" s="83"/>
      <c r="L64" s="42">
        <f t="shared" si="22"/>
        <v>2332.5901306427722</v>
      </c>
      <c r="M64" s="35">
        <f t="shared" si="0"/>
        <v>11.83237196089301</v>
      </c>
      <c r="N64" s="36">
        <f t="shared" si="23"/>
        <v>1242.7071763252477</v>
      </c>
      <c r="O64" s="8">
        <f t="shared" si="39"/>
        <v>0</v>
      </c>
      <c r="P64" s="56">
        <f t="shared" si="43"/>
        <v>0</v>
      </c>
      <c r="Q64" s="60" t="str">
        <f t="shared" si="44"/>
        <v/>
      </c>
      <c r="R64" s="60" t="str">
        <f t="shared" si="45"/>
        <v/>
      </c>
      <c r="S64" s="60" t="str">
        <f t="shared" si="51"/>
        <v/>
      </c>
      <c r="T64" s="60" t="str">
        <f t="shared" si="52"/>
        <v/>
      </c>
      <c r="U64" s="39">
        <f t="shared" si="40"/>
        <v>1242.7071763252477</v>
      </c>
      <c r="V64" s="40">
        <f t="shared" si="25"/>
        <v>1148.0718970425421</v>
      </c>
      <c r="W64" s="40">
        <f t="shared" si="3"/>
        <v>105.02604046192091</v>
      </c>
      <c r="X64" s="40">
        <f t="shared" si="41"/>
        <v>93.821188492663595</v>
      </c>
      <c r="Y64" s="40">
        <f>(X64*$D$42)-X64</f>
        <v>37.528475397065421</v>
      </c>
      <c r="Z64" s="42">
        <f t="shared" si="5"/>
        <v>1269.0307997530558</v>
      </c>
      <c r="AA64" s="42">
        <f t="shared" si="26"/>
        <v>26.323623427808116</v>
      </c>
      <c r="AB64" s="40">
        <f t="shared" si="6"/>
        <v>1159.2767490117994</v>
      </c>
      <c r="AC64" s="42">
        <f t="shared" si="7"/>
        <v>11.204851969257334</v>
      </c>
      <c r="AD64" s="43">
        <f t="shared" si="13"/>
        <v>59.214035955930264</v>
      </c>
      <c r="AE64" s="42">
        <f t="shared" si="8"/>
        <v>2369.093512808925</v>
      </c>
      <c r="AF64" s="43">
        <f t="shared" ref="AF64" si="55">AD64</f>
        <v>59.214035955930264</v>
      </c>
      <c r="AG64" s="44" t="e">
        <f t="shared" si="49"/>
        <v>#N/A</v>
      </c>
      <c r="AH64" s="45"/>
      <c r="AI64" s="46" t="str">
        <f t="shared" si="32"/>
        <v/>
      </c>
      <c r="AJ64" s="47">
        <f t="shared" si="14"/>
        <v>1.5674197469171109E-2</v>
      </c>
      <c r="AK64" s="61"/>
      <c r="AL64" s="22">
        <v>22</v>
      </c>
      <c r="AM64" s="8"/>
      <c r="AN64" s="8">
        <f>$M$5</f>
        <v>0</v>
      </c>
      <c r="AO64" s="8"/>
      <c r="AP64" s="8"/>
      <c r="AQ64" s="79"/>
      <c r="AR64" s="77" t="e">
        <f t="shared" si="42"/>
        <v>#N/A</v>
      </c>
      <c r="AS64" s="49">
        <v>5</v>
      </c>
      <c r="AT64" s="50">
        <f t="shared" si="15"/>
        <v>22500</v>
      </c>
      <c r="AU64" s="49">
        <v>20</v>
      </c>
      <c r="AV64" s="49">
        <f t="shared" si="16"/>
        <v>36000</v>
      </c>
      <c r="AW64" s="51">
        <f t="shared" si="17"/>
        <v>8.3500181462286776</v>
      </c>
      <c r="AX64" s="52">
        <f t="shared" si="28"/>
        <v>2.8000000000000025</v>
      </c>
      <c r="AY64" s="53">
        <f t="shared" si="18"/>
        <v>12600.000000000011</v>
      </c>
      <c r="AZ64" s="59">
        <f t="shared" si="29"/>
        <v>15.379999999999981</v>
      </c>
      <c r="BA64" s="59">
        <f t="shared" si="30"/>
        <v>1910</v>
      </c>
      <c r="BB64" s="53">
        <f t="shared" si="36"/>
        <v>29375.799999999963</v>
      </c>
      <c r="BC64" s="53">
        <f t="shared" si="10"/>
        <v>2.3314126984126933</v>
      </c>
      <c r="BD64" s="52">
        <f t="shared" si="20"/>
        <v>11.83237196089301</v>
      </c>
      <c r="BE64" s="89" t="s">
        <v>57</v>
      </c>
      <c r="BF64" s="52"/>
      <c r="BG64" s="76">
        <v>46290</v>
      </c>
    </row>
    <row r="65" spans="9:59" x14ac:dyDescent="0.2">
      <c r="I65" s="73">
        <v>46291</v>
      </c>
      <c r="J65" s="42">
        <v>11</v>
      </c>
      <c r="K65" s="83"/>
      <c r="L65" s="42">
        <f t="shared" si="22"/>
        <v>2369.093512808925</v>
      </c>
      <c r="M65" s="35">
        <f t="shared" si="0"/>
        <v>11.958541231032452</v>
      </c>
      <c r="N65" s="36">
        <f t="shared" si="23"/>
        <v>1269.0307997530558</v>
      </c>
      <c r="O65" s="8">
        <f t="shared" si="39"/>
        <v>0</v>
      </c>
      <c r="P65" s="56">
        <f t="shared" si="43"/>
        <v>0</v>
      </c>
      <c r="Q65" s="60" t="str">
        <f t="shared" si="44"/>
        <v/>
      </c>
      <c r="R65" s="60" t="str">
        <f t="shared" si="45"/>
        <v/>
      </c>
      <c r="S65" s="60" t="str">
        <f t="shared" si="51"/>
        <v/>
      </c>
      <c r="T65" s="60" t="str">
        <f t="shared" si="52"/>
        <v/>
      </c>
      <c r="U65" s="39">
        <f t="shared" si="40"/>
        <v>1269.0307997530558</v>
      </c>
      <c r="V65" s="40">
        <f t="shared" si="25"/>
        <v>1159.2767490117994</v>
      </c>
      <c r="W65" s="40">
        <f t="shared" si="3"/>
        <v>106.11919758740447</v>
      </c>
      <c r="X65" s="40">
        <f t="shared" si="41"/>
        <v>95.06738104382984</v>
      </c>
      <c r="Y65" s="40">
        <f>(X65*$D$42)-X65</f>
        <v>38.02695241753193</v>
      </c>
      <c r="Z65" s="42">
        <f t="shared" si="5"/>
        <v>1296.0059356270131</v>
      </c>
      <c r="AA65" s="42">
        <f t="shared" si="26"/>
        <v>26.975135873957242</v>
      </c>
      <c r="AB65" s="40">
        <f t="shared" si="6"/>
        <v>1170.3285655553741</v>
      </c>
      <c r="AC65" s="42">
        <f t="shared" si="7"/>
        <v>11.05181654357466</v>
      </c>
      <c r="AD65" s="43">
        <f t="shared" si="13"/>
        <v>60.245984306975345</v>
      </c>
      <c r="AE65" s="42">
        <f t="shared" si="8"/>
        <v>2406.0885168754116</v>
      </c>
      <c r="AF65" s="43"/>
      <c r="AG65" s="44" t="e">
        <f t="shared" si="49"/>
        <v>#N/A</v>
      </c>
      <c r="AH65" s="45"/>
      <c r="AI65" s="46" t="str">
        <f t="shared" si="32"/>
        <v/>
      </c>
      <c r="AJ65" s="47">
        <f t="shared" si="14"/>
        <v>1.5649291183485289E-2</v>
      </c>
      <c r="AK65" s="61"/>
      <c r="AL65" s="22">
        <v>23</v>
      </c>
      <c r="AM65" s="8"/>
      <c r="AN65" s="8"/>
      <c r="AO65" s="8"/>
      <c r="AP65" s="8">
        <f>$M$5</f>
        <v>0</v>
      </c>
      <c r="AQ65" s="8"/>
      <c r="AR65" s="77" t="e">
        <f t="shared" si="42"/>
        <v>#N/A</v>
      </c>
      <c r="AS65" s="49">
        <v>5</v>
      </c>
      <c r="AT65" s="50">
        <f t="shared" si="15"/>
        <v>22500</v>
      </c>
      <c r="AU65" s="49">
        <v>20</v>
      </c>
      <c r="AV65" s="49">
        <f t="shared" si="16"/>
        <v>36000</v>
      </c>
      <c r="AW65" s="51">
        <f t="shared" si="17"/>
        <v>8.3500181462286776</v>
      </c>
      <c r="AX65" s="52">
        <f t="shared" si="28"/>
        <v>2.7000000000000024</v>
      </c>
      <c r="AY65" s="53">
        <f t="shared" si="18"/>
        <v>12150.000000000011</v>
      </c>
      <c r="AZ65" s="59">
        <f t="shared" si="29"/>
        <v>15.16999999999998</v>
      </c>
      <c r="BA65" s="59">
        <f t="shared" si="30"/>
        <v>1915</v>
      </c>
      <c r="BB65" s="53">
        <f t="shared" si="36"/>
        <v>29050.549999999963</v>
      </c>
      <c r="BC65" s="53">
        <f t="shared" si="10"/>
        <v>2.3909917695473197</v>
      </c>
      <c r="BD65" s="52">
        <f t="shared" si="20"/>
        <v>11.958541231032452</v>
      </c>
      <c r="BE65" s="89" t="s">
        <v>57</v>
      </c>
      <c r="BF65" s="52"/>
      <c r="BG65" s="76">
        <v>46291</v>
      </c>
    </row>
    <row r="66" spans="9:59" x14ac:dyDescent="0.2">
      <c r="I66" s="73">
        <v>46292</v>
      </c>
      <c r="J66" s="42">
        <v>12</v>
      </c>
      <c r="K66" s="83">
        <v>1</v>
      </c>
      <c r="L66" s="42">
        <f t="shared" si="22"/>
        <v>2406.0885168754116</v>
      </c>
      <c r="M66" s="35">
        <f t="shared" si="0"/>
        <v>12.090581583911543</v>
      </c>
      <c r="N66" s="36">
        <f t="shared" si="23"/>
        <v>1296.0059356270131</v>
      </c>
      <c r="O66" s="8">
        <f t="shared" si="39"/>
        <v>0</v>
      </c>
      <c r="P66" s="56">
        <f t="shared" si="43"/>
        <v>0</v>
      </c>
      <c r="Q66" s="60" t="str">
        <f t="shared" si="44"/>
        <v/>
      </c>
      <c r="R66" s="60" t="str">
        <f t="shared" si="45"/>
        <v/>
      </c>
      <c r="S66" s="60" t="str">
        <f t="shared" si="51"/>
        <v/>
      </c>
      <c r="T66" s="60" t="str">
        <f t="shared" si="52"/>
        <v/>
      </c>
      <c r="U66" s="39">
        <f t="shared" si="40"/>
        <v>1296.0059356270131</v>
      </c>
      <c r="V66" s="40">
        <f t="shared" si="25"/>
        <v>1170.3285655553741</v>
      </c>
      <c r="W66" s="40">
        <f t="shared" si="3"/>
        <v>107.1913643386317</v>
      </c>
      <c r="X66" s="40">
        <f t="shared" si="41"/>
        <v>96.284499843442362</v>
      </c>
      <c r="Y66" s="40">
        <f>(X66*$D$42)-X66</f>
        <v>38.51379993737693</v>
      </c>
      <c r="Z66" s="42">
        <f t="shared" si="5"/>
        <v>1323.6128710692005</v>
      </c>
      <c r="AA66" s="42">
        <f t="shared" si="26"/>
        <v>27.606935442187478</v>
      </c>
      <c r="AB66" s="40">
        <f t="shared" si="6"/>
        <v>1181.2354300505635</v>
      </c>
      <c r="AC66" s="42">
        <f t="shared" si="7"/>
        <v>10.906864495189438</v>
      </c>
      <c r="AD66" s="43">
        <f t="shared" si="13"/>
        <v>61.285498343708042</v>
      </c>
      <c r="AE66" s="42">
        <f t="shared" si="8"/>
        <v>2443.5628027760558</v>
      </c>
      <c r="AF66" s="43">
        <f t="shared" ref="AF66" si="56">AD66</f>
        <v>61.285498343708042</v>
      </c>
      <c r="AG66" s="44" t="e">
        <f t="shared" si="49"/>
        <v>#N/A</v>
      </c>
      <c r="AH66" s="45"/>
      <c r="AI66" s="46" t="str">
        <f t="shared" si="32"/>
        <v/>
      </c>
      <c r="AJ66" s="47">
        <f t="shared" si="14"/>
        <v>1.5615679105306148E-2</v>
      </c>
      <c r="AK66" s="34">
        <f>L66</f>
        <v>2406.0885168754116</v>
      </c>
      <c r="AL66" s="22">
        <v>24</v>
      </c>
      <c r="AM66" s="8"/>
      <c r="AN66" s="8"/>
      <c r="AO66" s="8"/>
      <c r="AP66" s="8"/>
      <c r="AQ66" s="8"/>
      <c r="AR66" s="77" t="e">
        <f t="shared" si="42"/>
        <v>#N/A</v>
      </c>
      <c r="AS66" s="49">
        <v>5</v>
      </c>
      <c r="AT66" s="50">
        <f t="shared" si="15"/>
        <v>22500</v>
      </c>
      <c r="AU66" s="49">
        <v>20</v>
      </c>
      <c r="AV66" s="49">
        <f t="shared" si="16"/>
        <v>36000</v>
      </c>
      <c r="AW66" s="51">
        <f t="shared" si="17"/>
        <v>8.3500181462286776</v>
      </c>
      <c r="AX66" s="52">
        <f t="shared" si="28"/>
        <v>2.6000000000000023</v>
      </c>
      <c r="AY66" s="53">
        <f t="shared" si="18"/>
        <v>11700.000000000011</v>
      </c>
      <c r="AZ66" s="59">
        <f t="shared" si="29"/>
        <v>14.95999999999998</v>
      </c>
      <c r="BA66" s="59">
        <f t="shared" si="30"/>
        <v>1920</v>
      </c>
      <c r="BB66" s="53">
        <f t="shared" si="36"/>
        <v>28723.199999999961</v>
      </c>
      <c r="BC66" s="53">
        <f t="shared" si="10"/>
        <v>2.4549743589743533</v>
      </c>
      <c r="BD66" s="52">
        <f t="shared" si="20"/>
        <v>12.090581583911543</v>
      </c>
      <c r="BE66" s="89" t="s">
        <v>57</v>
      </c>
      <c r="BF66" s="52"/>
      <c r="BG66" s="76">
        <v>46292</v>
      </c>
    </row>
    <row r="67" spans="9:59" x14ac:dyDescent="0.2">
      <c r="I67" s="73">
        <v>46293</v>
      </c>
      <c r="J67" s="42">
        <v>13</v>
      </c>
      <c r="K67" s="83"/>
      <c r="L67" s="42">
        <f t="shared" si="22"/>
        <v>2443.5628027760558</v>
      </c>
      <c r="M67" s="35">
        <f t="shared" si="0"/>
        <v>12.229004609375725</v>
      </c>
      <c r="N67" s="36">
        <f t="shared" si="23"/>
        <v>1323.6128710692005</v>
      </c>
      <c r="O67" s="8">
        <f t="shared" si="39"/>
        <v>0</v>
      </c>
      <c r="P67" s="56">
        <f t="shared" si="43"/>
        <v>0</v>
      </c>
      <c r="Q67" s="60" t="str">
        <f t="shared" si="44"/>
        <v/>
      </c>
      <c r="R67" s="60" t="str">
        <f t="shared" si="45"/>
        <v/>
      </c>
      <c r="S67" s="60" t="str">
        <f t="shared" si="51"/>
        <v/>
      </c>
      <c r="T67" s="60" t="str">
        <f t="shared" si="52"/>
        <v/>
      </c>
      <c r="U67" s="39">
        <f t="shared" si="40"/>
        <v>1323.6128710692005</v>
      </c>
      <c r="V67" s="40">
        <f t="shared" si="25"/>
        <v>1181.2354300505635</v>
      </c>
      <c r="W67" s="40">
        <f t="shared" si="3"/>
        <v>108.23553619845838</v>
      </c>
      <c r="X67" s="40">
        <f t="shared" si="41"/>
        <v>96.38613678915857</v>
      </c>
      <c r="Y67" s="40">
        <f>(X67*$D$42)-X67</f>
        <v>38.554454715663411</v>
      </c>
      <c r="Z67" s="42">
        <f t="shared" si="5"/>
        <v>1350.3179263755642</v>
      </c>
      <c r="AA67" s="42">
        <f t="shared" si="26"/>
        <v>26.705055306363647</v>
      </c>
      <c r="AB67" s="40">
        <f t="shared" si="6"/>
        <v>1193.0848294598634</v>
      </c>
      <c r="AC67" s="42">
        <f t="shared" si="7"/>
        <v>11.849399409299849</v>
      </c>
      <c r="AD67" s="43">
        <f t="shared" si="13"/>
        <v>62.006162813477594</v>
      </c>
      <c r="AE67" s="42">
        <f t="shared" si="8"/>
        <v>2481.3965930219497</v>
      </c>
      <c r="AF67" s="43"/>
      <c r="AG67" s="44" t="e">
        <f t="shared" si="49"/>
        <v>#N/A</v>
      </c>
      <c r="AH67" s="45"/>
      <c r="AI67" s="46" t="str">
        <f t="shared" si="32"/>
        <v/>
      </c>
      <c r="AJ67" s="47">
        <f t="shared" si="14"/>
        <v>1.5574774426548924E-2</v>
      </c>
      <c r="AK67" s="61"/>
      <c r="AL67" s="22">
        <v>25</v>
      </c>
      <c r="AM67" s="8">
        <f>$M$5</f>
        <v>0</v>
      </c>
      <c r="AN67" s="8"/>
      <c r="AO67" s="79"/>
      <c r="AP67" s="8"/>
      <c r="AQ67" s="79"/>
      <c r="AR67" s="77" t="e">
        <f t="shared" si="42"/>
        <v>#N/A</v>
      </c>
      <c r="AS67" s="49">
        <v>5</v>
      </c>
      <c r="AT67" s="50">
        <f t="shared" si="15"/>
        <v>22500</v>
      </c>
      <c r="AU67" s="49">
        <v>20</v>
      </c>
      <c r="AV67" s="49">
        <f t="shared" si="16"/>
        <v>36000</v>
      </c>
      <c r="AW67" s="51">
        <f t="shared" si="17"/>
        <v>8.3500181462286776</v>
      </c>
      <c r="AX67" s="52">
        <f t="shared" si="28"/>
        <v>2.5000000000000022</v>
      </c>
      <c r="AY67" s="53">
        <f t="shared" si="18"/>
        <v>11250.000000000009</v>
      </c>
      <c r="AZ67" s="59">
        <f t="shared" si="29"/>
        <v>14.749999999999979</v>
      </c>
      <c r="BA67" s="59">
        <f t="shared" si="30"/>
        <v>1925</v>
      </c>
      <c r="BB67" s="53">
        <f t="shared" si="36"/>
        <v>28393.74999999996</v>
      </c>
      <c r="BC67" s="53">
        <f t="shared" si="10"/>
        <v>2.5238888888888833</v>
      </c>
      <c r="BD67" s="52">
        <f t="shared" si="20"/>
        <v>12.229004609375725</v>
      </c>
      <c r="BE67" s="89" t="s">
        <v>57</v>
      </c>
      <c r="BF67" s="52"/>
      <c r="BG67" s="76">
        <v>46293</v>
      </c>
    </row>
    <row r="68" spans="9:59" x14ac:dyDescent="0.2">
      <c r="I68" s="73">
        <v>46294</v>
      </c>
      <c r="J68" s="42">
        <v>14</v>
      </c>
      <c r="K68" s="83"/>
      <c r="L68" s="42">
        <f t="shared" si="22"/>
        <v>2481.3965930219497</v>
      </c>
      <c r="M68" s="35">
        <f t="shared" si="0"/>
        <v>12.374386704459955</v>
      </c>
      <c r="N68" s="36">
        <f t="shared" si="23"/>
        <v>1350.3179263755642</v>
      </c>
      <c r="O68" s="8">
        <f t="shared" si="39"/>
        <v>0</v>
      </c>
      <c r="P68" s="56">
        <f t="shared" si="43"/>
        <v>0</v>
      </c>
      <c r="Q68" s="60" t="str">
        <f t="shared" si="44"/>
        <v/>
      </c>
      <c r="R68" s="60" t="str">
        <f t="shared" si="45"/>
        <v/>
      </c>
      <c r="S68" s="60" t="str">
        <f t="shared" si="51"/>
        <v/>
      </c>
      <c r="T68" s="60" t="str">
        <f t="shared" si="52"/>
        <v/>
      </c>
      <c r="U68" s="39">
        <f t="shared" si="40"/>
        <v>1350.3179263755642</v>
      </c>
      <c r="V68" s="40">
        <f t="shared" si="25"/>
        <v>1193.0848294598634</v>
      </c>
      <c r="W68" s="40">
        <f t="shared" si="3"/>
        <v>109.12200811446154</v>
      </c>
      <c r="X68" s="40">
        <f t="shared" si="41"/>
        <v>96.968465916471189</v>
      </c>
      <c r="Y68" s="40">
        <f>(X68*$D$42)-X68</f>
        <v>38.787386366588464</v>
      </c>
      <c r="Z68" s="42">
        <f t="shared" si="5"/>
        <v>1376.9517705441622</v>
      </c>
      <c r="AA68" s="42">
        <f t="shared" si="26"/>
        <v>26.633844168597989</v>
      </c>
      <c r="AB68" s="40">
        <f t="shared" si="6"/>
        <v>1205.2383716578538</v>
      </c>
      <c r="AC68" s="42">
        <f t="shared" si="7"/>
        <v>12.153542197990419</v>
      </c>
      <c r="AD68" s="43">
        <f t="shared" si="13"/>
        <v>62.848487934330457</v>
      </c>
      <c r="AE68" s="42">
        <f t="shared" si="8"/>
        <v>2519.3416542676855</v>
      </c>
      <c r="AF68" s="43">
        <f t="shared" ref="AF68" si="57">AD68</f>
        <v>62.848487934330457</v>
      </c>
      <c r="AG68" s="44" t="e">
        <f t="shared" si="49"/>
        <v>#N/A</v>
      </c>
      <c r="AH68" s="45"/>
      <c r="AI68" s="46" t="str">
        <f t="shared" si="32"/>
        <v/>
      </c>
      <c r="AJ68" s="47">
        <f t="shared" si="14"/>
        <v>1.54830439401484E-2</v>
      </c>
      <c r="AK68" s="61"/>
      <c r="AL68" s="22">
        <v>26</v>
      </c>
      <c r="AM68" s="8"/>
      <c r="AN68" s="8"/>
      <c r="AO68" s="8"/>
      <c r="AP68" s="79"/>
      <c r="AQ68" s="79"/>
      <c r="AR68" s="77" t="e">
        <f t="shared" si="42"/>
        <v>#N/A</v>
      </c>
      <c r="AS68" s="49">
        <v>5</v>
      </c>
      <c r="AT68" s="50">
        <f t="shared" si="15"/>
        <v>22500</v>
      </c>
      <c r="AU68" s="49">
        <v>20</v>
      </c>
      <c r="AV68" s="49">
        <f t="shared" si="16"/>
        <v>36000</v>
      </c>
      <c r="AW68" s="51">
        <f t="shared" si="17"/>
        <v>8.3500181462286776</v>
      </c>
      <c r="AX68" s="52">
        <f t="shared" si="28"/>
        <v>2.4000000000000021</v>
      </c>
      <c r="AY68" s="53">
        <f t="shared" si="18"/>
        <v>10800.000000000009</v>
      </c>
      <c r="AZ68" s="59">
        <f t="shared" si="29"/>
        <v>14.539999999999978</v>
      </c>
      <c r="BA68" s="59">
        <f t="shared" si="30"/>
        <v>1930</v>
      </c>
      <c r="BB68" s="53">
        <f t="shared" si="36"/>
        <v>28062.199999999957</v>
      </c>
      <c r="BC68" s="53">
        <f t="shared" si="10"/>
        <v>2.5983518518518456</v>
      </c>
      <c r="BD68" s="52">
        <f t="shared" si="20"/>
        <v>12.374386704459955</v>
      </c>
      <c r="BE68" s="89" t="s">
        <v>57</v>
      </c>
      <c r="BF68" s="52"/>
      <c r="BG68" s="76">
        <v>46294</v>
      </c>
    </row>
    <row r="69" spans="9:59" x14ac:dyDescent="0.2">
      <c r="I69" s="73">
        <v>46295</v>
      </c>
      <c r="J69" s="42">
        <v>15</v>
      </c>
      <c r="K69" s="83"/>
      <c r="L69" s="42">
        <f t="shared" si="22"/>
        <v>2519.3416542676855</v>
      </c>
      <c r="M69" s="35">
        <f t="shared" si="0"/>
        <v>12.527380243052225</v>
      </c>
      <c r="N69" s="36">
        <f t="shared" si="23"/>
        <v>1376.9517705441622</v>
      </c>
      <c r="O69" s="8">
        <f t="shared" si="39"/>
        <v>0</v>
      </c>
      <c r="P69" s="56">
        <f t="shared" si="43"/>
        <v>0</v>
      </c>
      <c r="Q69" s="60" t="str">
        <f t="shared" si="44"/>
        <v/>
      </c>
      <c r="R69" s="60" t="str">
        <f t="shared" si="45"/>
        <v/>
      </c>
      <c r="S69" s="60" t="str">
        <f t="shared" si="51"/>
        <v/>
      </c>
      <c r="T69" s="60" t="str">
        <f t="shared" si="52"/>
        <v/>
      </c>
      <c r="U69" s="39">
        <f t="shared" si="40"/>
        <v>1376.9517705441622</v>
      </c>
      <c r="V69" s="40">
        <f t="shared" si="25"/>
        <v>1205.2383716578538</v>
      </c>
      <c r="W69" s="40">
        <f t="shared" si="3"/>
        <v>109.91538085609156</v>
      </c>
      <c r="X69" s="40">
        <f t="shared" si="41"/>
        <v>97.726284663203998</v>
      </c>
      <c r="Y69" s="40">
        <f>(X69*$D$42)-X69</f>
        <v>39.090513865281579</v>
      </c>
      <c r="Z69" s="42">
        <f t="shared" si="5"/>
        <v>1403.8531882165562</v>
      </c>
      <c r="AA69" s="42">
        <f t="shared" si="26"/>
        <v>26.901417672394018</v>
      </c>
      <c r="AB69" s="40">
        <f t="shared" si="6"/>
        <v>1217.4274678507413</v>
      </c>
      <c r="AC69" s="42">
        <f t="shared" si="7"/>
        <v>12.189096192887519</v>
      </c>
      <c r="AD69" s="43">
        <f t="shared" si="13"/>
        <v>63.741679662565254</v>
      </c>
      <c r="AE69" s="42">
        <f t="shared" si="8"/>
        <v>2557.5389764047322</v>
      </c>
      <c r="AF69" s="43"/>
      <c r="AG69" s="44" t="e">
        <f t="shared" si="49"/>
        <v>#N/A</v>
      </c>
      <c r="AH69" s="45"/>
      <c r="AI69" s="46" t="str">
        <f t="shared" si="32"/>
        <v/>
      </c>
      <c r="AJ69" s="47">
        <f t="shared" si="14"/>
        <v>1.5291816452252284E-2</v>
      </c>
      <c r="AK69" s="34"/>
      <c r="AL69" s="22">
        <v>27</v>
      </c>
      <c r="AM69" s="8"/>
      <c r="AN69" s="8">
        <f>$M$5</f>
        <v>0</v>
      </c>
      <c r="AO69" s="8">
        <f>$M$5</f>
        <v>0</v>
      </c>
      <c r="AP69" s="8"/>
      <c r="AQ69" s="8">
        <f>$M$5</f>
        <v>0</v>
      </c>
      <c r="AR69" s="77" t="e">
        <f t="shared" si="42"/>
        <v>#N/A</v>
      </c>
      <c r="AS69" s="49">
        <v>5</v>
      </c>
      <c r="AT69" s="50">
        <f t="shared" si="15"/>
        <v>22500</v>
      </c>
      <c r="AU69" s="49">
        <v>20</v>
      </c>
      <c r="AV69" s="49">
        <f t="shared" si="16"/>
        <v>36000</v>
      </c>
      <c r="AW69" s="51">
        <f t="shared" si="17"/>
        <v>8.3500181462286776</v>
      </c>
      <c r="AX69" s="52">
        <f t="shared" si="28"/>
        <v>2.300000000000002</v>
      </c>
      <c r="AY69" s="53">
        <f t="shared" si="18"/>
        <v>10350.000000000009</v>
      </c>
      <c r="AZ69" s="59">
        <f t="shared" si="29"/>
        <v>14.329999999999977</v>
      </c>
      <c r="BA69" s="59">
        <f t="shared" si="30"/>
        <v>1935</v>
      </c>
      <c r="BB69" s="53">
        <f t="shared" si="36"/>
        <v>27728.549999999956</v>
      </c>
      <c r="BC69" s="53">
        <f t="shared" si="10"/>
        <v>2.6790869565217323</v>
      </c>
      <c r="BD69" s="52">
        <f t="shared" si="20"/>
        <v>12.527380243052225</v>
      </c>
      <c r="BE69" s="89" t="s">
        <v>57</v>
      </c>
      <c r="BF69" s="52"/>
      <c r="BG69" s="76">
        <v>46295</v>
      </c>
    </row>
    <row r="70" spans="9:59" x14ac:dyDescent="0.2">
      <c r="I70" s="73">
        <v>46296</v>
      </c>
      <c r="J70" s="42">
        <v>16</v>
      </c>
      <c r="K70" s="83"/>
      <c r="L70" s="42">
        <f t="shared" si="22"/>
        <v>2557.5389764047322</v>
      </c>
      <c r="M70" s="35">
        <f t="shared" si="0"/>
        <v>12.688727239998929</v>
      </c>
      <c r="N70" s="36">
        <f t="shared" si="23"/>
        <v>1403.8531882165562</v>
      </c>
      <c r="O70" s="8">
        <f t="shared" si="39"/>
        <v>0</v>
      </c>
      <c r="P70" s="56">
        <f t="shared" si="43"/>
        <v>0</v>
      </c>
      <c r="Q70" s="60" t="str">
        <f t="shared" si="44"/>
        <v/>
      </c>
      <c r="R70" s="60" t="str">
        <f t="shared" si="45"/>
        <v/>
      </c>
      <c r="S70" s="60" t="str">
        <f t="shared" si="51"/>
        <v/>
      </c>
      <c r="T70" s="60" t="str">
        <f t="shared" si="52"/>
        <v/>
      </c>
      <c r="U70" s="39">
        <f t="shared" si="40"/>
        <v>1403.8531882165562</v>
      </c>
      <c r="V70" s="40">
        <f t="shared" si="25"/>
        <v>1217.4274678507413</v>
      </c>
      <c r="W70" s="40">
        <f t="shared" si="3"/>
        <v>110.63782534399208</v>
      </c>
      <c r="X70" s="40">
        <f t="shared" si="41"/>
        <v>98.612207030824266</v>
      </c>
      <c r="Y70" s="40">
        <f>(X70*$D$42)-X70</f>
        <v>39.444882812329695</v>
      </c>
      <c r="Z70" s="42">
        <f t="shared" si="5"/>
        <v>1431.2724527157181</v>
      </c>
      <c r="AA70" s="42">
        <f t="shared" si="26"/>
        <v>27.419264499161955</v>
      </c>
      <c r="AB70" s="40">
        <f t="shared" si="6"/>
        <v>1229.4530861639091</v>
      </c>
      <c r="AC70" s="42">
        <f t="shared" si="7"/>
        <v>12.025618313167797</v>
      </c>
      <c r="AD70" s="43">
        <f t="shared" si="13"/>
        <v>64.679991814661193</v>
      </c>
      <c r="AE70" s="42">
        <f t="shared" si="8"/>
        <v>2596.0455470649663</v>
      </c>
      <c r="AF70" s="43">
        <f t="shared" ref="AF70" si="58">AD70</f>
        <v>64.679991814661193</v>
      </c>
      <c r="AG70" s="44" t="e">
        <f t="shared" si="49"/>
        <v>#N/A</v>
      </c>
      <c r="AH70" s="45"/>
      <c r="AI70" s="46" t="str">
        <f t="shared" si="32"/>
        <v/>
      </c>
      <c r="AJ70" s="47">
        <f t="shared" si="14"/>
        <v>1.5161628464460815E-2</v>
      </c>
      <c r="AK70" s="61"/>
      <c r="AL70" s="22">
        <v>28</v>
      </c>
      <c r="AM70" s="8"/>
      <c r="AN70" s="8"/>
      <c r="AO70" s="8"/>
      <c r="AP70" s="79"/>
      <c r="AQ70" s="8"/>
      <c r="AR70" s="77" t="e">
        <f t="shared" si="42"/>
        <v>#N/A</v>
      </c>
      <c r="AS70" s="49">
        <v>5</v>
      </c>
      <c r="AT70" s="50">
        <f t="shared" si="15"/>
        <v>22500</v>
      </c>
      <c r="AU70" s="49">
        <v>20</v>
      </c>
      <c r="AV70" s="49">
        <f t="shared" si="16"/>
        <v>36000</v>
      </c>
      <c r="AW70" s="51">
        <f t="shared" si="17"/>
        <v>8.3500181462286776</v>
      </c>
      <c r="AX70" s="52">
        <f t="shared" si="28"/>
        <v>2.200000000000002</v>
      </c>
      <c r="AY70" s="53">
        <f t="shared" si="18"/>
        <v>9900.0000000000091</v>
      </c>
      <c r="AZ70" s="59">
        <f t="shared" si="29"/>
        <v>14.119999999999976</v>
      </c>
      <c r="BA70" s="59">
        <f t="shared" si="30"/>
        <v>1940</v>
      </c>
      <c r="BB70" s="53">
        <f t="shared" si="36"/>
        <v>27392.799999999952</v>
      </c>
      <c r="BC70" s="53">
        <f t="shared" si="10"/>
        <v>2.7669494949494875</v>
      </c>
      <c r="BD70" s="52">
        <f t="shared" si="20"/>
        <v>12.688727239998929</v>
      </c>
      <c r="BE70" s="89" t="s">
        <v>57</v>
      </c>
      <c r="BF70" s="52"/>
      <c r="BG70" s="76">
        <v>46296</v>
      </c>
    </row>
    <row r="71" spans="9:59" x14ac:dyDescent="0.2">
      <c r="I71" s="73">
        <v>46297</v>
      </c>
      <c r="J71" s="42">
        <v>17</v>
      </c>
      <c r="K71" s="83"/>
      <c r="L71" s="42">
        <f t="shared" si="22"/>
        <v>2596.0455470649663</v>
      </c>
      <c r="M71" s="35">
        <f t="shared" si="0"/>
        <v>12.859276207500535</v>
      </c>
      <c r="N71" s="36">
        <f t="shared" si="23"/>
        <v>1431.2724527157181</v>
      </c>
      <c r="O71" s="8">
        <f t="shared" si="39"/>
        <v>0</v>
      </c>
      <c r="P71" s="56">
        <f t="shared" si="43"/>
        <v>0</v>
      </c>
      <c r="Q71" s="60" t="str">
        <f t="shared" si="44"/>
        <v/>
      </c>
      <c r="R71" s="60" t="str">
        <f t="shared" si="45"/>
        <v/>
      </c>
      <c r="S71" s="60" t="str">
        <f t="shared" si="51"/>
        <v/>
      </c>
      <c r="T71" s="60" t="str">
        <f t="shared" si="52"/>
        <v/>
      </c>
      <c r="U71" s="39">
        <f>N71-SUM(P71:T71)</f>
        <v>1431.2724527157181</v>
      </c>
      <c r="V71" s="40">
        <f t="shared" si="25"/>
        <v>1229.4530861639091</v>
      </c>
      <c r="W71" s="40">
        <f t="shared" si="3"/>
        <v>111.30272261209291</v>
      </c>
      <c r="X71" s="40">
        <f t="shared" si="41"/>
        <v>99.589366227078727</v>
      </c>
      <c r="Y71" s="40">
        <f>(X71*$D$42)-X71</f>
        <v>39.835746490831468</v>
      </c>
      <c r="Z71" s="42">
        <f t="shared" si="5"/>
        <v>1459.3948428215356</v>
      </c>
      <c r="AA71" s="42">
        <f t="shared" si="26"/>
        <v>28.122390105817431</v>
      </c>
      <c r="AB71" s="40">
        <f t="shared" si="6"/>
        <v>1241.1664425489234</v>
      </c>
      <c r="AC71" s="42">
        <f t="shared" si="7"/>
        <v>11.713356385014322</v>
      </c>
      <c r="AD71" s="43">
        <f t="shared" si="13"/>
        <v>65.658621186016589</v>
      </c>
      <c r="AE71" s="42">
        <f t="shared" si="8"/>
        <v>2634.9026641844421</v>
      </c>
      <c r="AF71" s="43"/>
      <c r="AG71" s="44" t="e">
        <f t="shared" si="49"/>
        <v>#N/A</v>
      </c>
      <c r="AH71" s="45"/>
      <c r="AI71" s="46" t="str">
        <f t="shared" si="32"/>
        <v/>
      </c>
      <c r="AJ71" s="47">
        <f t="shared" si="14"/>
        <v>1.5056103158343562E-2</v>
      </c>
      <c r="AK71" s="61"/>
      <c r="AL71" s="22">
        <v>29</v>
      </c>
      <c r="AM71" s="8">
        <f>$M$5</f>
        <v>0</v>
      </c>
      <c r="AN71" s="8"/>
      <c r="AO71" s="8"/>
      <c r="AP71" s="8"/>
      <c r="AQ71" s="8"/>
      <c r="AR71" s="77" t="e">
        <f t="shared" si="42"/>
        <v>#N/A</v>
      </c>
      <c r="AS71" s="49">
        <v>5</v>
      </c>
      <c r="AT71" s="50">
        <f t="shared" si="15"/>
        <v>22500</v>
      </c>
      <c r="AU71" s="49">
        <v>20</v>
      </c>
      <c r="AV71" s="49">
        <f t="shared" si="16"/>
        <v>36000</v>
      </c>
      <c r="AW71" s="51">
        <f t="shared" si="17"/>
        <v>8.3500181462286776</v>
      </c>
      <c r="AX71" s="52">
        <f t="shared" si="28"/>
        <v>2.1000000000000019</v>
      </c>
      <c r="AY71" s="53">
        <f t="shared" si="18"/>
        <v>9450.0000000000091</v>
      </c>
      <c r="AZ71" s="59">
        <f t="shared" si="29"/>
        <v>13.909999999999975</v>
      </c>
      <c r="BA71" s="59">
        <f t="shared" si="30"/>
        <v>1945</v>
      </c>
      <c r="BB71" s="53">
        <f t="shared" si="36"/>
        <v>27054.949999999953</v>
      </c>
      <c r="BC71" s="53">
        <f t="shared" si="10"/>
        <v>2.8629576719576644</v>
      </c>
      <c r="BD71" s="52">
        <f t="shared" si="20"/>
        <v>12.859276207500535</v>
      </c>
      <c r="BE71" s="89" t="s">
        <v>57</v>
      </c>
      <c r="BF71" s="52"/>
      <c r="BG71" s="76">
        <v>46297</v>
      </c>
    </row>
    <row r="72" spans="9:59" x14ac:dyDescent="0.2">
      <c r="I72" s="73">
        <v>46298</v>
      </c>
      <c r="J72" s="42">
        <v>18</v>
      </c>
      <c r="K72" s="83"/>
      <c r="L72" s="42">
        <f t="shared" si="22"/>
        <v>2634.9026641844421</v>
      </c>
      <c r="M72" s="35">
        <f t="shared" si="0"/>
        <v>13.040003140367563</v>
      </c>
      <c r="N72" s="36">
        <f t="shared" si="23"/>
        <v>1459.3948428215356</v>
      </c>
      <c r="O72" s="8">
        <f t="shared" si="39"/>
        <v>0</v>
      </c>
      <c r="P72" s="56">
        <f t="shared" si="43"/>
        <v>0</v>
      </c>
      <c r="Q72" s="60" t="str">
        <f t="shared" si="44"/>
        <v/>
      </c>
      <c r="R72" s="60" t="str">
        <f t="shared" si="45"/>
        <v/>
      </c>
      <c r="S72" s="60" t="str">
        <f t="shared" si="51"/>
        <v/>
      </c>
      <c r="T72" s="60" t="str">
        <f t="shared" si="52"/>
        <v/>
      </c>
      <c r="U72" s="39">
        <f t="shared" si="40"/>
        <v>1459.3948428215356</v>
      </c>
      <c r="V72" s="40">
        <f t="shared" si="25"/>
        <v>1241.1664425489234</v>
      </c>
      <c r="W72" s="40">
        <f t="shared" si="3"/>
        <v>111.91675547252967</v>
      </c>
      <c r="X72" s="40">
        <f t="shared" si="41"/>
        <v>100.62899762476789</v>
      </c>
      <c r="Y72" s="40">
        <f>(X72*$D$42)-X72</f>
        <v>40.251599049907156</v>
      </c>
      <c r="Z72" s="42">
        <f t="shared" si="5"/>
        <v>1488.3586840236808</v>
      </c>
      <c r="AA72" s="42">
        <f t="shared" si="26"/>
        <v>28.963841202145204</v>
      </c>
      <c r="AB72" s="40">
        <f t="shared" si="6"/>
        <v>1252.4542003966853</v>
      </c>
      <c r="AC72" s="42">
        <f t="shared" si="7"/>
        <v>11.287757847761895</v>
      </c>
      <c r="AD72" s="43">
        <f t="shared" si="13"/>
        <v>66.673570357968771</v>
      </c>
      <c r="AE72" s="42">
        <f t="shared" si="8"/>
        <v>2674.1393140623973</v>
      </c>
      <c r="AF72" s="43">
        <f t="shared" ref="AF72" si="59">AD72</f>
        <v>66.673570357968771</v>
      </c>
      <c r="AG72" s="44" t="e">
        <f t="shared" si="49"/>
        <v>#N/A</v>
      </c>
      <c r="AH72" s="45">
        <f>IF($M$3="F",315*Z72/BB72,315*Z72/AV72)</f>
        <v>17.549428615663871</v>
      </c>
      <c r="AI72" s="46" t="str">
        <f t="shared" si="32"/>
        <v/>
      </c>
      <c r="AJ72" s="47">
        <f t="shared" si="14"/>
        <v>1.4967810238694316E-2</v>
      </c>
      <c r="AK72" s="34">
        <f>L72</f>
        <v>2634.9026641844421</v>
      </c>
      <c r="AL72" s="22">
        <v>30</v>
      </c>
      <c r="AM72" s="8"/>
      <c r="AN72" s="8"/>
      <c r="AO72" s="8"/>
      <c r="AP72" s="8"/>
      <c r="AQ72" s="8"/>
      <c r="AR72" s="77" t="e">
        <f t="shared" si="42"/>
        <v>#N/A</v>
      </c>
      <c r="AS72" s="49">
        <v>5</v>
      </c>
      <c r="AT72" s="50">
        <f t="shared" si="15"/>
        <v>22500</v>
      </c>
      <c r="AU72" s="49">
        <v>20</v>
      </c>
      <c r="AV72" s="49">
        <f t="shared" si="16"/>
        <v>36000</v>
      </c>
      <c r="AW72" s="51">
        <f t="shared" si="17"/>
        <v>8.3500181462286776</v>
      </c>
      <c r="AX72" s="52">
        <f t="shared" si="28"/>
        <v>2.0000000000000018</v>
      </c>
      <c r="AY72" s="53">
        <f t="shared" si="18"/>
        <v>9000.0000000000073</v>
      </c>
      <c r="AZ72" s="59">
        <f t="shared" si="29"/>
        <v>13.699999999999974</v>
      </c>
      <c r="BA72" s="59">
        <f t="shared" si="30"/>
        <v>1950</v>
      </c>
      <c r="BB72" s="53">
        <f t="shared" si="36"/>
        <v>26714.999999999949</v>
      </c>
      <c r="BC72" s="53">
        <f t="shared" si="10"/>
        <v>2.9683333333333253</v>
      </c>
      <c r="BD72" s="52">
        <f t="shared" si="20"/>
        <v>13.040003140367563</v>
      </c>
      <c r="BE72" s="89" t="s">
        <v>57</v>
      </c>
      <c r="BF72" s="52"/>
      <c r="BG72" s="76">
        <v>46298</v>
      </c>
    </row>
    <row r="73" spans="9:59" x14ac:dyDescent="0.2">
      <c r="I73" s="73">
        <v>46299</v>
      </c>
      <c r="J73" s="42">
        <v>19</v>
      </c>
      <c r="K73" s="83"/>
      <c r="L73" s="42">
        <f t="shared" si="22"/>
        <v>2674.1393140623973</v>
      </c>
      <c r="M73" s="35">
        <f t="shared" si="0"/>
        <v>13.23203790354161</v>
      </c>
      <c r="N73" s="36">
        <f t="shared" si="23"/>
        <v>1488.3586840236808</v>
      </c>
      <c r="O73" s="8">
        <f t="shared" si="39"/>
        <v>0</v>
      </c>
      <c r="P73" s="56">
        <f t="shared" si="43"/>
        <v>0</v>
      </c>
      <c r="Q73" s="60" t="str">
        <f t="shared" si="44"/>
        <v/>
      </c>
      <c r="R73" s="60" t="str">
        <f t="shared" si="45"/>
        <v/>
      </c>
      <c r="S73" s="60" t="str">
        <f t="shared" si="51"/>
        <v/>
      </c>
      <c r="T73" s="60" t="str">
        <f t="shared" si="52"/>
        <v/>
      </c>
      <c r="U73" s="39">
        <f t="shared" si="40"/>
        <v>1488.3586840236808</v>
      </c>
      <c r="V73" s="40">
        <f t="shared" si="25"/>
        <v>1252.4542003966853</v>
      </c>
      <c r="W73" s="40">
        <f t="shared" si="3"/>
        <v>112.48144049113669</v>
      </c>
      <c r="X73" s="40">
        <f t="shared" si="41"/>
        <v>101.70855694713367</v>
      </c>
      <c r="Y73" s="40">
        <f>(X73*$D$42)-X73</f>
        <v>40.683422778853469</v>
      </c>
      <c r="Z73" s="42">
        <f t="shared" si="5"/>
        <v>1518.2692232585314</v>
      </c>
      <c r="AA73" s="42">
        <f t="shared" si="26"/>
        <v>29.910539234850603</v>
      </c>
      <c r="AB73" s="40">
        <f t="shared" si="6"/>
        <v>1263.2270839406883</v>
      </c>
      <c r="AC73" s="42">
        <f t="shared" si="7"/>
        <v>10.77288354400298</v>
      </c>
      <c r="AD73" s="43">
        <f t="shared" si="13"/>
        <v>67.721534184732135</v>
      </c>
      <c r="AE73" s="42">
        <f t="shared" si="8"/>
        <v>2713.7747730144874</v>
      </c>
      <c r="AF73" s="43"/>
      <c r="AG73" s="44" t="e">
        <f t="shared" si="49"/>
        <v>#N/A</v>
      </c>
      <c r="AH73" s="45"/>
      <c r="AI73" s="46" t="str">
        <f t="shared" si="32"/>
        <v/>
      </c>
      <c r="AJ73" s="47">
        <f t="shared" si="14"/>
        <v>1.4891119285463153E-2</v>
      </c>
      <c r="AK73" s="61"/>
      <c r="AL73" s="22">
        <v>31</v>
      </c>
      <c r="AM73" s="8"/>
      <c r="AN73" s="8"/>
      <c r="AO73" s="8"/>
      <c r="AP73" s="8">
        <f>$M$5</f>
        <v>0</v>
      </c>
      <c r="AQ73" s="79"/>
      <c r="AR73" s="77" t="e">
        <f t="shared" si="42"/>
        <v>#N/A</v>
      </c>
      <c r="AS73" s="49">
        <v>5</v>
      </c>
      <c r="AT73" s="50">
        <f t="shared" si="15"/>
        <v>22500</v>
      </c>
      <c r="AU73" s="49">
        <v>20</v>
      </c>
      <c r="AV73" s="49">
        <f t="shared" si="16"/>
        <v>36000</v>
      </c>
      <c r="AW73" s="51">
        <f t="shared" si="17"/>
        <v>8.3500181462286776</v>
      </c>
      <c r="AX73" s="52">
        <f t="shared" si="28"/>
        <v>1.9000000000000017</v>
      </c>
      <c r="AY73" s="53">
        <f t="shared" si="18"/>
        <v>8550.0000000000073</v>
      </c>
      <c r="AZ73" s="59">
        <f t="shared" si="29"/>
        <v>13.489999999999974</v>
      </c>
      <c r="BA73" s="59">
        <f t="shared" si="30"/>
        <v>1955</v>
      </c>
      <c r="BB73" s="53">
        <f t="shared" si="36"/>
        <v>26372.94999999995</v>
      </c>
      <c r="BC73" s="53">
        <f t="shared" si="10"/>
        <v>3.0845555555555473</v>
      </c>
      <c r="BD73" s="52">
        <f t="shared" si="20"/>
        <v>13.23203790354161</v>
      </c>
      <c r="BE73" s="89" t="s">
        <v>57</v>
      </c>
      <c r="BF73" s="52"/>
      <c r="BG73" s="76">
        <v>46299</v>
      </c>
    </row>
    <row r="74" spans="9:59" x14ac:dyDescent="0.2">
      <c r="I74" s="73">
        <v>46300</v>
      </c>
      <c r="J74" s="42">
        <v>20</v>
      </c>
      <c r="K74" s="83"/>
      <c r="L74" s="42">
        <f t="shared" si="22"/>
        <v>2713.7747730144874</v>
      </c>
      <c r="M74" s="35">
        <f t="shared" si="0"/>
        <v>13.436697778061587</v>
      </c>
      <c r="N74" s="36">
        <f t="shared" si="23"/>
        <v>1518.2692232585314</v>
      </c>
      <c r="O74" s="8">
        <f t="shared" si="39"/>
        <v>0</v>
      </c>
      <c r="P74" s="56">
        <f t="shared" si="43"/>
        <v>0</v>
      </c>
      <c r="Q74" s="60" t="str">
        <f t="shared" si="44"/>
        <v/>
      </c>
      <c r="R74" s="60" t="str">
        <f t="shared" si="45"/>
        <v/>
      </c>
      <c r="S74" s="60" t="str">
        <f t="shared" si="51"/>
        <v/>
      </c>
      <c r="T74" s="60" t="str">
        <f t="shared" si="52"/>
        <v/>
      </c>
      <c r="U74" s="39">
        <f t="shared" si="40"/>
        <v>1518.2692232585314</v>
      </c>
      <c r="V74" s="40">
        <f t="shared" si="25"/>
        <v>1263.2270839406883</v>
      </c>
      <c r="W74" s="40">
        <f t="shared" si="3"/>
        <v>112.99422286162046</v>
      </c>
      <c r="X74" s="40">
        <f t="shared" si="41"/>
        <v>102.8102534716384</v>
      </c>
      <c r="Y74" s="40">
        <f>(X74*$D$42)-X74</f>
        <v>41.124101388655347</v>
      </c>
      <c r="Z74" s="42">
        <f t="shared" si="5"/>
        <v>1549.2093552572046</v>
      </c>
      <c r="AA74" s="42">
        <f t="shared" si="26"/>
        <v>30.940131998673223</v>
      </c>
      <c r="AB74" s="40">
        <f t="shared" si="6"/>
        <v>1273.4110533306705</v>
      </c>
      <c r="AC74" s="42">
        <f t="shared" si="7"/>
        <v>10.183969389982167</v>
      </c>
      <c r="AD74" s="43">
        <f t="shared" si="13"/>
        <v>68.799806622954804</v>
      </c>
      <c r="AE74" s="42">
        <f t="shared" si="8"/>
        <v>2753.8206019649206</v>
      </c>
      <c r="AF74" s="43">
        <f t="shared" ref="AF74" si="60">AD74</f>
        <v>68.799806622954804</v>
      </c>
      <c r="AG74" s="44" t="e">
        <f t="shared" si="49"/>
        <v>#N/A</v>
      </c>
      <c r="AH74" s="45"/>
      <c r="AI74" s="46" t="str">
        <f t="shared" si="32"/>
        <v/>
      </c>
      <c r="AJ74" s="47">
        <f t="shared" si="14"/>
        <v>1.4821762928977057E-2</v>
      </c>
      <c r="AK74" s="61"/>
      <c r="AL74" s="22">
        <v>32</v>
      </c>
      <c r="AM74" s="8"/>
      <c r="AN74" s="8">
        <f>$M$5</f>
        <v>0</v>
      </c>
      <c r="AO74" s="79"/>
      <c r="AP74" s="8"/>
      <c r="AQ74" s="8"/>
      <c r="AR74" s="77" t="e">
        <f t="shared" si="42"/>
        <v>#N/A</v>
      </c>
      <c r="AS74" s="49">
        <v>5</v>
      </c>
      <c r="AT74" s="50">
        <f t="shared" si="15"/>
        <v>22500</v>
      </c>
      <c r="AU74" s="49">
        <v>20</v>
      </c>
      <c r="AV74" s="49">
        <f t="shared" si="16"/>
        <v>36000</v>
      </c>
      <c r="AW74" s="51">
        <f t="shared" si="17"/>
        <v>8.3500181462286776</v>
      </c>
      <c r="AX74" s="52">
        <f t="shared" si="28"/>
        <v>1.8000000000000016</v>
      </c>
      <c r="AY74" s="53">
        <f t="shared" si="18"/>
        <v>8100.0000000000073</v>
      </c>
      <c r="AZ74" s="59">
        <f t="shared" si="29"/>
        <v>13.279999999999973</v>
      </c>
      <c r="BA74" s="59">
        <f t="shared" si="30"/>
        <v>1960</v>
      </c>
      <c r="BB74" s="53">
        <f t="shared" si="36"/>
        <v>26028.799999999945</v>
      </c>
      <c r="BC74" s="53">
        <f t="shared" si="10"/>
        <v>3.2134320987654226</v>
      </c>
      <c r="BD74" s="52">
        <f t="shared" si="20"/>
        <v>13.436697778061587</v>
      </c>
      <c r="BE74" s="89" t="s">
        <v>57</v>
      </c>
      <c r="BF74" s="52"/>
      <c r="BG74" s="76">
        <v>46300</v>
      </c>
    </row>
    <row r="75" spans="9:59" x14ac:dyDescent="0.2">
      <c r="I75" s="73">
        <v>46301</v>
      </c>
      <c r="J75" s="42">
        <v>21</v>
      </c>
      <c r="K75" s="83"/>
      <c r="L75" s="42">
        <f t="shared" si="22"/>
        <v>2753.8206019649206</v>
      </c>
      <c r="M75" s="35">
        <f t="shared" si="0"/>
        <v>13.655530625594539</v>
      </c>
      <c r="N75" s="36">
        <f t="shared" si="23"/>
        <v>1549.2093552572046</v>
      </c>
      <c r="O75" s="8">
        <f t="shared" si="39"/>
        <v>0</v>
      </c>
      <c r="P75" s="56">
        <f t="shared" si="43"/>
        <v>0</v>
      </c>
      <c r="Q75" s="60" t="str">
        <f t="shared" si="44"/>
        <v/>
      </c>
      <c r="R75" s="60" t="str">
        <f t="shared" si="45"/>
        <v/>
      </c>
      <c r="S75" s="60" t="str">
        <f t="shared" si="51"/>
        <v/>
      </c>
      <c r="T75" s="60" t="str">
        <f t="shared" si="52"/>
        <v/>
      </c>
      <c r="U75" s="39">
        <f t="shared" si="40"/>
        <v>1549.2093552572046</v>
      </c>
      <c r="V75" s="40">
        <f t="shared" si="25"/>
        <v>1273.4110533306705</v>
      </c>
      <c r="W75" s="40">
        <f t="shared" si="3"/>
        <v>113.449224181265</v>
      </c>
      <c r="X75" s="40">
        <f t="shared" si="41"/>
        <v>103.91990480162777</v>
      </c>
      <c r="Y75" s="40">
        <f>(X75*$D$42)-X75</f>
        <v>41.567961920651086</v>
      </c>
      <c r="Z75" s="42">
        <f t="shared" si="5"/>
        <v>1581.2479977982184</v>
      </c>
      <c r="AA75" s="42">
        <f t="shared" si="26"/>
        <v>32.038642541013814</v>
      </c>
      <c r="AB75" s="40">
        <f t="shared" si="6"/>
        <v>1282.9403727103077</v>
      </c>
      <c r="AC75" s="42">
        <f t="shared" si="7"/>
        <v>9.5293193796371725</v>
      </c>
      <c r="AD75" s="43">
        <f t="shared" si="13"/>
        <v>69.906205321918449</v>
      </c>
      <c r="AE75" s="42">
        <f t="shared" si="8"/>
        <v>2794.2821651866075</v>
      </c>
      <c r="AF75" s="43"/>
      <c r="AG75" s="44" t="e">
        <f t="shared" si="49"/>
        <v>#N/A</v>
      </c>
      <c r="AH75" s="45"/>
      <c r="AI75" s="46" t="str">
        <f t="shared" si="32"/>
        <v/>
      </c>
      <c r="AJ75" s="47">
        <f t="shared" si="14"/>
        <v>1.4756504242225613E-2</v>
      </c>
      <c r="AK75" s="34"/>
      <c r="AL75" s="22">
        <v>33</v>
      </c>
      <c r="AM75" s="8">
        <f>$M$5</f>
        <v>0</v>
      </c>
      <c r="AN75" s="8"/>
      <c r="AO75" s="8"/>
      <c r="AP75" s="8"/>
      <c r="AQ75" s="79"/>
      <c r="AR75" s="77" t="e">
        <f t="shared" si="42"/>
        <v>#N/A</v>
      </c>
      <c r="AS75" s="49">
        <v>5</v>
      </c>
      <c r="AT75" s="50">
        <f t="shared" si="15"/>
        <v>22500</v>
      </c>
      <c r="AU75" s="49">
        <v>20</v>
      </c>
      <c r="AV75" s="49">
        <f t="shared" si="16"/>
        <v>36000</v>
      </c>
      <c r="AW75" s="51">
        <f t="shared" si="17"/>
        <v>8.3500181462286776</v>
      </c>
      <c r="AX75" s="52">
        <f t="shared" si="28"/>
        <v>1.7000000000000015</v>
      </c>
      <c r="AY75" s="53">
        <f t="shared" si="18"/>
        <v>7650.0000000000064</v>
      </c>
      <c r="AZ75" s="59">
        <f t="shared" si="29"/>
        <v>13.069999999999972</v>
      </c>
      <c r="BA75" s="59">
        <f t="shared" si="30"/>
        <v>1965</v>
      </c>
      <c r="BB75" s="53">
        <f t="shared" si="36"/>
        <v>25682.549999999945</v>
      </c>
      <c r="BC75" s="53">
        <f t="shared" si="10"/>
        <v>3.3571960784313624</v>
      </c>
      <c r="BD75" s="52">
        <f t="shared" si="20"/>
        <v>13.655530625594539</v>
      </c>
      <c r="BE75" s="89" t="s">
        <v>57</v>
      </c>
      <c r="BF75" s="52"/>
      <c r="BG75" s="76">
        <v>46301</v>
      </c>
    </row>
    <row r="76" spans="9:59" x14ac:dyDescent="0.2">
      <c r="I76" s="73">
        <v>46302</v>
      </c>
      <c r="J76" s="42">
        <v>22</v>
      </c>
      <c r="K76" s="83"/>
      <c r="L76" s="42">
        <f t="shared" si="22"/>
        <v>2794.2821651866075</v>
      </c>
      <c r="M76" s="35">
        <f t="shared" si="0"/>
        <v>13.890371177686788</v>
      </c>
      <c r="N76" s="36">
        <f t="shared" si="23"/>
        <v>1581.2479977982184</v>
      </c>
      <c r="O76" s="8">
        <f t="shared" si="39"/>
        <v>0</v>
      </c>
      <c r="P76" s="56">
        <f t="shared" si="43"/>
        <v>0</v>
      </c>
      <c r="Q76" s="60" t="str">
        <f t="shared" si="44"/>
        <v/>
      </c>
      <c r="R76" s="60" t="str">
        <f t="shared" si="45"/>
        <v/>
      </c>
      <c r="S76" s="60" t="str">
        <f t="shared" si="51"/>
        <v/>
      </c>
      <c r="T76" s="60" t="str">
        <f t="shared" si="52"/>
        <v/>
      </c>
      <c r="U76" s="39">
        <f t="shared" si="40"/>
        <v>1581.2479977982184</v>
      </c>
      <c r="V76" s="40">
        <f t="shared" si="25"/>
        <v>1282.9403727103077</v>
      </c>
      <c r="W76" s="40">
        <f t="shared" si="3"/>
        <v>113.83770653575502</v>
      </c>
      <c r="X76" s="40">
        <f t="shared" si="41"/>
        <v>105.02604046192091</v>
      </c>
      <c r="Y76" s="40">
        <f>(X76*$D$42)-X76</f>
        <v>42.010416184768346</v>
      </c>
      <c r="Z76" s="42">
        <f t="shared" si="5"/>
        <v>1614.4467479091527</v>
      </c>
      <c r="AA76" s="42">
        <f t="shared" si="26"/>
        <v>33.19875011093427</v>
      </c>
      <c r="AB76" s="40">
        <f t="shared" si="6"/>
        <v>1291.7520387841416</v>
      </c>
      <c r="AC76" s="42">
        <f t="shared" si="7"/>
        <v>8.811666073833976</v>
      </c>
      <c r="AD76" s="43">
        <f t="shared" si="13"/>
        <v>71.039012083531745</v>
      </c>
      <c r="AE76" s="42">
        <f t="shared" si="8"/>
        <v>2835.1597746097623</v>
      </c>
      <c r="AF76" s="43">
        <f t="shared" ref="AF76" si="61">AD76</f>
        <v>71.039012083531745</v>
      </c>
      <c r="AG76" s="44" t="e">
        <f t="shared" si="49"/>
        <v>#N/A</v>
      </c>
      <c r="AH76" s="45"/>
      <c r="AI76" s="46" t="str">
        <f t="shared" si="32"/>
        <v/>
      </c>
      <c r="AJ76" s="47">
        <f t="shared" si="14"/>
        <v>1.4692882750901259E-2</v>
      </c>
      <c r="AK76" s="61"/>
      <c r="AL76" s="22">
        <v>34</v>
      </c>
      <c r="AM76" s="8"/>
      <c r="AN76" s="8"/>
      <c r="AO76" s="8">
        <f>$M$5</f>
        <v>0</v>
      </c>
      <c r="AP76" s="8"/>
      <c r="AQ76" s="8"/>
      <c r="AR76" s="77" t="e">
        <f t="shared" si="42"/>
        <v>#N/A</v>
      </c>
      <c r="AS76" s="49">
        <v>5</v>
      </c>
      <c r="AT76" s="50">
        <f t="shared" si="15"/>
        <v>22500</v>
      </c>
      <c r="AU76" s="49">
        <v>20</v>
      </c>
      <c r="AV76" s="49">
        <f t="shared" si="16"/>
        <v>36000</v>
      </c>
      <c r="AW76" s="51">
        <f t="shared" si="17"/>
        <v>8.3500181462286776</v>
      </c>
      <c r="AX76" s="52">
        <f t="shared" si="28"/>
        <v>1.6000000000000014</v>
      </c>
      <c r="AY76" s="53">
        <f t="shared" si="18"/>
        <v>7200.0000000000064</v>
      </c>
      <c r="AZ76" s="59">
        <f t="shared" si="29"/>
        <v>12.859999999999971</v>
      </c>
      <c r="BA76" s="59">
        <f t="shared" si="30"/>
        <v>1970</v>
      </c>
      <c r="BB76" s="53">
        <f t="shared" si="36"/>
        <v>25334.199999999943</v>
      </c>
      <c r="BC76" s="53">
        <f t="shared" si="10"/>
        <v>3.5186388888888778</v>
      </c>
      <c r="BD76" s="52">
        <f t="shared" si="20"/>
        <v>13.890371177686788</v>
      </c>
      <c r="BE76" s="89" t="s">
        <v>57</v>
      </c>
      <c r="BF76" s="52"/>
      <c r="BG76" s="76">
        <v>46302</v>
      </c>
    </row>
    <row r="77" spans="9:59" x14ac:dyDescent="0.2">
      <c r="I77" s="73">
        <v>46303</v>
      </c>
      <c r="J77" s="42">
        <v>23</v>
      </c>
      <c r="K77" s="83"/>
      <c r="L77" s="42">
        <f t="shared" si="22"/>
        <v>2835.1597746097623</v>
      </c>
      <c r="M77" s="35">
        <f t="shared" si="0"/>
        <v>14.143415543210864</v>
      </c>
      <c r="N77" s="36">
        <f t="shared" si="23"/>
        <v>1614.4467479091527</v>
      </c>
      <c r="O77" s="8">
        <f t="shared" si="39"/>
        <v>0</v>
      </c>
      <c r="P77" s="56">
        <f t="shared" si="43"/>
        <v>0</v>
      </c>
      <c r="Q77" s="60" t="str">
        <f t="shared" si="44"/>
        <v/>
      </c>
      <c r="R77" s="60" t="str">
        <f t="shared" si="45"/>
        <v/>
      </c>
      <c r="S77" s="60" t="str">
        <f t="shared" si="51"/>
        <v/>
      </c>
      <c r="T77" s="60" t="str">
        <f t="shared" si="52"/>
        <v/>
      </c>
      <c r="U77" s="39">
        <f t="shared" si="40"/>
        <v>1614.4467479091527</v>
      </c>
      <c r="V77" s="40">
        <f t="shared" si="25"/>
        <v>1291.7520387841416</v>
      </c>
      <c r="W77" s="40">
        <f t="shared" si="3"/>
        <v>114.14829345688857</v>
      </c>
      <c r="X77" s="40">
        <f t="shared" si="41"/>
        <v>106.11919758740447</v>
      </c>
      <c r="Y77" s="40">
        <f>(X77*$D$42)-X77</f>
        <v>42.447679034961766</v>
      </c>
      <c r="Z77" s="42">
        <f t="shared" si="5"/>
        <v>1648.8653310746304</v>
      </c>
      <c r="AA77" s="42">
        <f t="shared" si="26"/>
        <v>34.418583165477685</v>
      </c>
      <c r="AB77" s="40">
        <f t="shared" si="6"/>
        <v>1299.7811346536257</v>
      </c>
      <c r="AC77" s="42">
        <f t="shared" si="7"/>
        <v>8.029095869484081</v>
      </c>
      <c r="AD77" s="43">
        <f t="shared" si="13"/>
        <v>72.196927973950167</v>
      </c>
      <c r="AE77" s="42">
        <f t="shared" si="8"/>
        <v>2876.4495377543058</v>
      </c>
      <c r="AF77" s="43"/>
      <c r="AG77" s="44" t="e">
        <f t="shared" si="49"/>
        <v>#N/A</v>
      </c>
      <c r="AH77" s="45"/>
      <c r="AI77" s="46" t="str">
        <f t="shared" ref="AI77:AI114" si="62">IF(O75&gt;0,SUM(P75:R77)/L75,"")</f>
        <v/>
      </c>
      <c r="AJ77" s="47">
        <f t="shared" si="14"/>
        <v>1.4629019908025259E-2</v>
      </c>
      <c r="AK77" s="61"/>
      <c r="AL77" s="22">
        <v>35</v>
      </c>
      <c r="AM77" s="8"/>
      <c r="AN77" s="8"/>
      <c r="AO77" s="8"/>
      <c r="AP77" s="8"/>
      <c r="AQ77" s="8"/>
      <c r="AR77" s="77" t="e">
        <f t="shared" si="42"/>
        <v>#N/A</v>
      </c>
      <c r="AS77" s="49">
        <v>5</v>
      </c>
      <c r="AT77" s="50">
        <f t="shared" si="15"/>
        <v>22500</v>
      </c>
      <c r="AU77" s="49">
        <v>20</v>
      </c>
      <c r="AV77" s="49">
        <f t="shared" si="16"/>
        <v>36000</v>
      </c>
      <c r="AW77" s="51">
        <f t="shared" si="17"/>
        <v>8.3500181462286776</v>
      </c>
      <c r="AX77" s="52">
        <f t="shared" si="28"/>
        <v>1.5000000000000013</v>
      </c>
      <c r="AY77" s="53">
        <f t="shared" si="18"/>
        <v>6750.0000000000064</v>
      </c>
      <c r="AZ77" s="59">
        <f t="shared" si="29"/>
        <v>12.64999999999997</v>
      </c>
      <c r="BA77" s="59">
        <f t="shared" si="30"/>
        <v>1975</v>
      </c>
      <c r="BB77" s="53">
        <f t="shared" si="36"/>
        <v>24983.749999999942</v>
      </c>
      <c r="BC77" s="53">
        <f t="shared" si="10"/>
        <v>3.7012962962962841</v>
      </c>
      <c r="BD77" s="52">
        <f t="shared" si="20"/>
        <v>14.143415543210864</v>
      </c>
      <c r="BE77" s="89" t="s">
        <v>57</v>
      </c>
      <c r="BF77" s="52"/>
      <c r="BG77" s="76">
        <v>46303</v>
      </c>
    </row>
    <row r="78" spans="9:59" x14ac:dyDescent="0.2">
      <c r="I78" s="73">
        <v>46304</v>
      </c>
      <c r="J78" s="42">
        <v>24</v>
      </c>
      <c r="K78" s="83"/>
      <c r="L78" s="42">
        <f t="shared" si="22"/>
        <v>2876.4495377543058</v>
      </c>
      <c r="M78" s="35">
        <f t="shared" si="0"/>
        <v>14.417321493099934</v>
      </c>
      <c r="N78" s="36">
        <f t="shared" si="23"/>
        <v>1648.8653310746304</v>
      </c>
      <c r="O78" s="8">
        <f t="shared" si="39"/>
        <v>0</v>
      </c>
      <c r="P78" s="56">
        <f t="shared" si="43"/>
        <v>0</v>
      </c>
      <c r="Q78" s="60" t="str">
        <f t="shared" si="44"/>
        <v/>
      </c>
      <c r="R78" s="60" t="str">
        <f t="shared" si="45"/>
        <v/>
      </c>
      <c r="S78" s="60" t="str">
        <f t="shared" si="51"/>
        <v/>
      </c>
      <c r="T78" s="60" t="str">
        <f t="shared" si="52"/>
        <v/>
      </c>
      <c r="U78" s="39">
        <f t="shared" si="40"/>
        <v>1648.8653310746304</v>
      </c>
      <c r="V78" s="40">
        <f t="shared" si="25"/>
        <v>1299.7811346536257</v>
      </c>
      <c r="W78" s="40">
        <f t="shared" si="3"/>
        <v>114.36696697536848</v>
      </c>
      <c r="X78" s="40">
        <f t="shared" si="41"/>
        <v>107.1913643386317</v>
      </c>
      <c r="Y78" s="40">
        <f>(X78*$D$42)-X78</f>
        <v>42.87654573545268</v>
      </c>
      <c r="Z78" s="42">
        <f t="shared" si="5"/>
        <v>1684.5662741733463</v>
      </c>
      <c r="AA78" s="42">
        <f t="shared" si="26"/>
        <v>35.700943098715925</v>
      </c>
      <c r="AB78" s="40">
        <f t="shared" si="6"/>
        <v>1306.9567372903625</v>
      </c>
      <c r="AC78" s="42">
        <f t="shared" si="7"/>
        <v>7.1756026367368122</v>
      </c>
      <c r="AD78" s="43">
        <f t="shared" si="13"/>
        <v>73.37904257845527</v>
      </c>
      <c r="AE78" s="42">
        <f t="shared" si="8"/>
        <v>2918.1439688852533</v>
      </c>
      <c r="AF78" s="43">
        <f t="shared" ref="AF78" si="63">AD78</f>
        <v>73.37904257845527</v>
      </c>
      <c r="AG78" s="44" t="e">
        <f t="shared" si="49"/>
        <v>#N/A</v>
      </c>
      <c r="AH78" s="45"/>
      <c r="AI78" s="46" t="str">
        <f t="shared" si="62"/>
        <v/>
      </c>
      <c r="AJ78" s="47">
        <f t="shared" si="14"/>
        <v>1.456346958443522E-2</v>
      </c>
      <c r="AK78" s="34">
        <f>L78</f>
        <v>2876.4495377543058</v>
      </c>
      <c r="AL78" s="22">
        <v>36</v>
      </c>
      <c r="AM78" s="8"/>
      <c r="AN78" s="8"/>
      <c r="AO78" s="8"/>
      <c r="AP78" s="79"/>
      <c r="AQ78" s="79"/>
      <c r="AR78" s="77" t="e">
        <f t="shared" si="42"/>
        <v>#N/A</v>
      </c>
      <c r="AS78" s="49">
        <v>5</v>
      </c>
      <c r="AT78" s="50">
        <f t="shared" si="15"/>
        <v>22500</v>
      </c>
      <c r="AU78" s="49">
        <v>20</v>
      </c>
      <c r="AV78" s="49">
        <f t="shared" si="16"/>
        <v>36000</v>
      </c>
      <c r="AW78" s="51">
        <f t="shared" si="17"/>
        <v>8.3500181462286776</v>
      </c>
      <c r="AX78" s="52">
        <f t="shared" si="28"/>
        <v>1.4000000000000012</v>
      </c>
      <c r="AY78" s="53">
        <f t="shared" si="18"/>
        <v>6300.0000000000055</v>
      </c>
      <c r="AZ78" s="59">
        <f t="shared" si="29"/>
        <v>12.439999999999969</v>
      </c>
      <c r="BA78" s="59">
        <f t="shared" si="30"/>
        <v>1980</v>
      </c>
      <c r="BB78" s="53">
        <f t="shared" si="36"/>
        <v>24631.199999999939</v>
      </c>
      <c r="BC78" s="53">
        <f t="shared" si="10"/>
        <v>3.9097142857142728</v>
      </c>
      <c r="BD78" s="52">
        <f t="shared" si="20"/>
        <v>14.417321493099934</v>
      </c>
      <c r="BE78" s="89" t="s">
        <v>57</v>
      </c>
      <c r="BF78" s="52"/>
      <c r="BG78" s="76">
        <v>46304</v>
      </c>
    </row>
    <row r="79" spans="9:59" x14ac:dyDescent="0.2">
      <c r="I79" s="73">
        <v>46305</v>
      </c>
      <c r="J79" s="42">
        <v>25</v>
      </c>
      <c r="K79" s="83"/>
      <c r="L79" s="42">
        <f t="shared" si="22"/>
        <v>2918.1439688852533</v>
      </c>
      <c r="M79" s="35">
        <f t="shared" si="0"/>
        <v>14.715346012972329</v>
      </c>
      <c r="N79" s="36">
        <f t="shared" si="23"/>
        <v>1684.5662741733463</v>
      </c>
      <c r="O79" s="8">
        <f t="shared" si="39"/>
        <v>0</v>
      </c>
      <c r="P79" s="56">
        <f t="shared" si="43"/>
        <v>0</v>
      </c>
      <c r="Q79" s="60" t="str">
        <f t="shared" si="44"/>
        <v/>
      </c>
      <c r="R79" s="60" t="str">
        <f t="shared" si="45"/>
        <v/>
      </c>
      <c r="S79" s="60" t="str">
        <f t="shared" si="51"/>
        <v/>
      </c>
      <c r="T79" s="60" t="str">
        <f t="shared" si="52"/>
        <v/>
      </c>
      <c r="U79" s="39">
        <f t="shared" si="40"/>
        <v>1684.5662741733463</v>
      </c>
      <c r="V79" s="40">
        <f t="shared" si="25"/>
        <v>1306.9567372903625</v>
      </c>
      <c r="W79" s="40">
        <f t="shared" si="3"/>
        <v>114.47683749252754</v>
      </c>
      <c r="X79" s="40">
        <f t="shared" si="41"/>
        <v>108.23553619845838</v>
      </c>
      <c r="Y79" s="40">
        <f>(X79*$D$42)-X79</f>
        <v>43.294214479383342</v>
      </c>
      <c r="Z79" s="42">
        <f t="shared" si="5"/>
        <v>1721.6191873586606</v>
      </c>
      <c r="AA79" s="42">
        <f t="shared" si="26"/>
        <v>37.05291318531431</v>
      </c>
      <c r="AB79" s="40">
        <f t="shared" si="6"/>
        <v>1313.1980385844315</v>
      </c>
      <c r="AC79" s="42">
        <f t="shared" si="7"/>
        <v>6.2413012940689896</v>
      </c>
      <c r="AD79" s="43">
        <f t="shared" si="13"/>
        <v>74.584817713871175</v>
      </c>
      <c r="AE79" s="42">
        <f t="shared" si="8"/>
        <v>2960.2324082292212</v>
      </c>
      <c r="AF79" s="43"/>
      <c r="AG79" s="44" t="e">
        <f t="shared" si="49"/>
        <v>#N/A</v>
      </c>
      <c r="AH79" s="45"/>
      <c r="AI79" s="46" t="str">
        <f t="shared" si="62"/>
        <v/>
      </c>
      <c r="AJ79" s="47">
        <f t="shared" si="14"/>
        <v>1.4495102585216616E-2</v>
      </c>
      <c r="AK79" s="61"/>
      <c r="AL79" s="22">
        <v>37</v>
      </c>
      <c r="AM79" s="8">
        <f>$M$5</f>
        <v>0</v>
      </c>
      <c r="AN79" s="8">
        <f>$M$5</f>
        <v>0</v>
      </c>
      <c r="AO79" s="8"/>
      <c r="AP79" s="8"/>
      <c r="AQ79" s="8"/>
      <c r="AR79" s="77" t="e">
        <f t="shared" si="42"/>
        <v>#N/A</v>
      </c>
      <c r="AS79" s="49">
        <v>5</v>
      </c>
      <c r="AT79" s="50">
        <f t="shared" si="15"/>
        <v>22500</v>
      </c>
      <c r="AU79" s="49">
        <v>20</v>
      </c>
      <c r="AV79" s="49">
        <f t="shared" si="16"/>
        <v>36000</v>
      </c>
      <c r="AW79" s="51">
        <f t="shared" si="17"/>
        <v>8.3500181462286776</v>
      </c>
      <c r="AX79" s="52">
        <f t="shared" si="28"/>
        <v>1.3000000000000012</v>
      </c>
      <c r="AY79" s="53">
        <f t="shared" si="18"/>
        <v>5850.0000000000055</v>
      </c>
      <c r="AZ79" s="59">
        <f t="shared" si="29"/>
        <v>12.229999999999968</v>
      </c>
      <c r="BA79" s="59">
        <f t="shared" si="30"/>
        <v>1985</v>
      </c>
      <c r="BB79" s="53">
        <f t="shared" si="36"/>
        <v>24276.549999999937</v>
      </c>
      <c r="BC79" s="53">
        <f t="shared" si="10"/>
        <v>4.1498376068375924</v>
      </c>
      <c r="BD79" s="52">
        <f t="shared" si="20"/>
        <v>14.715346012972329</v>
      </c>
      <c r="BE79" s="89" t="s">
        <v>57</v>
      </c>
      <c r="BF79" s="52"/>
      <c r="BG79" s="76">
        <v>46305</v>
      </c>
    </row>
    <row r="80" spans="9:59" x14ac:dyDescent="0.2">
      <c r="I80" s="73">
        <v>46306</v>
      </c>
      <c r="J80" s="42">
        <v>26</v>
      </c>
      <c r="K80" s="83"/>
      <c r="L80" s="42">
        <f t="shared" si="22"/>
        <v>2960.2324082292212</v>
      </c>
      <c r="M80" s="35">
        <f t="shared" si="0"/>
        <v>15.041538071366151</v>
      </c>
      <c r="N80" s="36">
        <f t="shared" si="23"/>
        <v>1721.6191873586606</v>
      </c>
      <c r="O80" s="8">
        <f t="shared" si="39"/>
        <v>0</v>
      </c>
      <c r="P80" s="56">
        <f t="shared" si="43"/>
        <v>0</v>
      </c>
      <c r="Q80" s="60" t="str">
        <f t="shared" si="44"/>
        <v/>
      </c>
      <c r="R80" s="60" t="str">
        <f t="shared" si="45"/>
        <v/>
      </c>
      <c r="S80" s="60" t="str">
        <f t="shared" si="51"/>
        <v/>
      </c>
      <c r="T80" s="60" t="str">
        <f t="shared" si="52"/>
        <v/>
      </c>
      <c r="U80" s="39">
        <f t="shared" si="40"/>
        <v>1721.6191873586606</v>
      </c>
      <c r="V80" s="40">
        <f t="shared" si="25"/>
        <v>1313.1980385844315</v>
      </c>
      <c r="W80" s="40">
        <f t="shared" si="3"/>
        <v>114.45765580556046</v>
      </c>
      <c r="X80" s="40">
        <f t="shared" si="41"/>
        <v>109.12200811446154</v>
      </c>
      <c r="Y80" s="40">
        <f>(X80*$D$42)-X80</f>
        <v>43.648803245784606</v>
      </c>
      <c r="Z80" s="42">
        <f t="shared" si="5"/>
        <v>1759.9323429133462</v>
      </c>
      <c r="AA80" s="42">
        <f t="shared" si="26"/>
        <v>38.313155554685636</v>
      </c>
      <c r="AB80" s="40">
        <f t="shared" si="6"/>
        <v>1318.5336862755305</v>
      </c>
      <c r="AC80" s="42">
        <f t="shared" si="7"/>
        <v>5.3356476910989841</v>
      </c>
      <c r="AD80" s="43">
        <f t="shared" si="13"/>
        <v>75.777082118304975</v>
      </c>
      <c r="AE80" s="42">
        <f t="shared" si="8"/>
        <v>3002.6889470705719</v>
      </c>
      <c r="AF80" s="43">
        <f t="shared" ref="AF80" si="64">AD80</f>
        <v>75.777082118304975</v>
      </c>
      <c r="AG80" s="44" t="e">
        <f t="shared" si="49"/>
        <v>#N/A</v>
      </c>
      <c r="AH80" s="45"/>
      <c r="AI80" s="46" t="str">
        <f t="shared" si="62"/>
        <v/>
      </c>
      <c r="AJ80" s="47">
        <f t="shared" si="14"/>
        <v>1.4423016750625168E-2</v>
      </c>
      <c r="AK80" s="61"/>
      <c r="AL80" s="22">
        <v>38</v>
      </c>
      <c r="AM80" s="8"/>
      <c r="AN80" s="8"/>
      <c r="AO80" s="8"/>
      <c r="AP80" s="79"/>
      <c r="AQ80" s="8"/>
      <c r="AR80" s="77" t="e">
        <f t="shared" si="42"/>
        <v>#N/A</v>
      </c>
      <c r="AS80" s="49">
        <v>5</v>
      </c>
      <c r="AT80" s="50">
        <f t="shared" si="15"/>
        <v>22500</v>
      </c>
      <c r="AU80" s="49">
        <v>20</v>
      </c>
      <c r="AV80" s="49">
        <f t="shared" si="16"/>
        <v>36000</v>
      </c>
      <c r="AW80" s="51">
        <f t="shared" si="17"/>
        <v>8.3500181462286776</v>
      </c>
      <c r="AX80" s="52">
        <f t="shared" si="28"/>
        <v>1.2000000000000011</v>
      </c>
      <c r="AY80" s="53">
        <f t="shared" si="18"/>
        <v>5400.0000000000045</v>
      </c>
      <c r="AZ80" s="59">
        <f t="shared" si="29"/>
        <v>12.019999999999968</v>
      </c>
      <c r="BA80" s="59">
        <f t="shared" si="30"/>
        <v>1990</v>
      </c>
      <c r="BB80" s="53">
        <f t="shared" si="36"/>
        <v>23919.799999999934</v>
      </c>
      <c r="BC80" s="53">
        <f t="shared" si="10"/>
        <v>4.4295925925925763</v>
      </c>
      <c r="BD80" s="52">
        <f t="shared" si="20"/>
        <v>15.041538071366151</v>
      </c>
      <c r="BE80" s="89" t="s">
        <v>57</v>
      </c>
      <c r="BF80" s="52"/>
      <c r="BG80" s="76">
        <v>46306</v>
      </c>
    </row>
    <row r="81" spans="9:59" x14ac:dyDescent="0.2">
      <c r="I81" s="73">
        <v>46307</v>
      </c>
      <c r="J81" s="42">
        <v>27</v>
      </c>
      <c r="K81" s="83"/>
      <c r="L81" s="42">
        <f t="shared" si="22"/>
        <v>3002.6889470705719</v>
      </c>
      <c r="M81" s="35">
        <f t="shared" si="0"/>
        <v>15.401015519852475</v>
      </c>
      <c r="N81" s="36">
        <f t="shared" si="23"/>
        <v>1759.9323429133462</v>
      </c>
      <c r="O81" s="8">
        <f t="shared" si="39"/>
        <v>0</v>
      </c>
      <c r="P81" s="56">
        <f t="shared" si="43"/>
        <v>0</v>
      </c>
      <c r="Q81" s="60" t="str">
        <f t="shared" si="44"/>
        <v/>
      </c>
      <c r="R81" s="60" t="str">
        <f t="shared" si="45"/>
        <v/>
      </c>
      <c r="S81" s="60" t="str">
        <f t="shared" si="51"/>
        <v/>
      </c>
      <c r="T81" s="60" t="str">
        <f t="shared" si="52"/>
        <v/>
      </c>
      <c r="U81" s="39">
        <f t="shared" si="40"/>
        <v>1759.9323429133462</v>
      </c>
      <c r="V81" s="40">
        <f t="shared" si="25"/>
        <v>1318.5336862755305</v>
      </c>
      <c r="W81" s="40">
        <f t="shared" si="3"/>
        <v>114.27378542958604</v>
      </c>
      <c r="X81" s="40">
        <f t="shared" si="41"/>
        <v>109.91538085609156</v>
      </c>
      <c r="Y81" s="40">
        <f>(X81*$D$42)-X81</f>
        <v>43.966152342436601</v>
      </c>
      <c r="Z81" s="42">
        <f t="shared" si="5"/>
        <v>1799.5400906822883</v>
      </c>
      <c r="AA81" s="42">
        <f t="shared" si="26"/>
        <v>39.60774776894209</v>
      </c>
      <c r="AB81" s="40">
        <f t="shared" si="6"/>
        <v>1322.892090849025</v>
      </c>
      <c r="AC81" s="42">
        <f t="shared" si="7"/>
        <v>4.3584045734944539</v>
      </c>
      <c r="AD81" s="43">
        <f t="shared" si="13"/>
        <v>76.972922829661115</v>
      </c>
      <c r="AE81" s="42">
        <f t="shared" si="8"/>
        <v>3045.4592587016523</v>
      </c>
      <c r="AF81" s="43"/>
      <c r="AG81" s="44" t="e">
        <f t="shared" si="49"/>
        <v>#N/A</v>
      </c>
      <c r="AH81" s="45"/>
      <c r="AI81" s="46" t="str">
        <f t="shared" si="62"/>
        <v/>
      </c>
      <c r="AJ81" s="47">
        <f t="shared" si="14"/>
        <v>1.4342299180065987E-2</v>
      </c>
      <c r="AK81" s="34"/>
      <c r="AL81" s="22">
        <v>39</v>
      </c>
      <c r="AM81" s="8"/>
      <c r="AN81" s="8"/>
      <c r="AO81" s="79"/>
      <c r="AP81" s="8"/>
      <c r="AQ81" s="79"/>
      <c r="AR81" s="77" t="e">
        <f t="shared" si="42"/>
        <v>#N/A</v>
      </c>
      <c r="AS81" s="49">
        <v>5</v>
      </c>
      <c r="AT81" s="50">
        <f t="shared" si="15"/>
        <v>22500</v>
      </c>
      <c r="AU81" s="49">
        <v>20</v>
      </c>
      <c r="AV81" s="49">
        <f t="shared" si="16"/>
        <v>36000</v>
      </c>
      <c r="AW81" s="51">
        <f t="shared" si="17"/>
        <v>8.3500181462286776</v>
      </c>
      <c r="AX81" s="52">
        <f t="shared" si="28"/>
        <v>1.100000000000001</v>
      </c>
      <c r="AY81" s="53">
        <f t="shared" si="18"/>
        <v>4950.0000000000045</v>
      </c>
      <c r="AZ81" s="59">
        <f t="shared" si="29"/>
        <v>11.809999999999967</v>
      </c>
      <c r="BA81" s="59">
        <f t="shared" si="30"/>
        <v>1995</v>
      </c>
      <c r="BB81" s="53">
        <f t="shared" si="36"/>
        <v>23560.949999999935</v>
      </c>
      <c r="BC81" s="53">
        <f t="shared" si="10"/>
        <v>4.7597878787878614</v>
      </c>
      <c r="BD81" s="52">
        <f t="shared" si="20"/>
        <v>15.401015519852475</v>
      </c>
      <c r="BE81" s="89" t="s">
        <v>57</v>
      </c>
      <c r="BF81" s="52"/>
      <c r="BG81" s="76">
        <v>46307</v>
      </c>
    </row>
    <row r="82" spans="9:59" x14ac:dyDescent="0.2">
      <c r="I82" s="73">
        <v>46308</v>
      </c>
      <c r="J82" s="42">
        <v>28</v>
      </c>
      <c r="K82" s="83"/>
      <c r="L82" s="42">
        <f t="shared" si="22"/>
        <v>3045.4592587016523</v>
      </c>
      <c r="M82" s="35">
        <f t="shared" si="0"/>
        <v>15.800374409479932</v>
      </c>
      <c r="N82" s="36">
        <f t="shared" si="23"/>
        <v>1799.5400906822883</v>
      </c>
      <c r="O82" s="8">
        <f t="shared" si="39"/>
        <v>0</v>
      </c>
      <c r="P82" s="56">
        <f t="shared" si="43"/>
        <v>0</v>
      </c>
      <c r="Q82" s="60" t="str">
        <f t="shared" si="44"/>
        <v/>
      </c>
      <c r="R82" s="60" t="str">
        <f t="shared" si="45"/>
        <v/>
      </c>
      <c r="S82" s="60" t="str">
        <f t="shared" si="51"/>
        <v/>
      </c>
      <c r="T82" s="60" t="str">
        <f t="shared" si="52"/>
        <v/>
      </c>
      <c r="U82" s="39">
        <f t="shared" si="40"/>
        <v>1799.5400906822883</v>
      </c>
      <c r="V82" s="40">
        <f t="shared" si="25"/>
        <v>1322.892090849025</v>
      </c>
      <c r="W82" s="40">
        <f t="shared" si="3"/>
        <v>113.89224356624091</v>
      </c>
      <c r="X82" s="40">
        <f t="shared" si="41"/>
        <v>110.63782534399208</v>
      </c>
      <c r="Y82" s="40">
        <f>(X82*$D$42)-X82</f>
        <v>44.255130137596822</v>
      </c>
      <c r="Z82" s="42">
        <f t="shared" si="5"/>
        <v>1840.5408025976362</v>
      </c>
      <c r="AA82" s="42">
        <f t="shared" si="26"/>
        <v>41.000711915347892</v>
      </c>
      <c r="AB82" s="40">
        <f t="shared" si="6"/>
        <v>1326.1465090712738</v>
      </c>
      <c r="AC82" s="42">
        <f t="shared" si="7"/>
        <v>3.2544182222488871</v>
      </c>
      <c r="AD82" s="43">
        <f t="shared" si="13"/>
        <v>78.179849870254841</v>
      </c>
      <c r="AE82" s="42">
        <f t="shared" si="8"/>
        <v>3088.5074617986556</v>
      </c>
      <c r="AF82" s="43">
        <f t="shared" ref="AF82" si="65">AD82</f>
        <v>78.179849870254841</v>
      </c>
      <c r="AG82" s="44" t="e">
        <f t="shared" si="49"/>
        <v>#N/A</v>
      </c>
      <c r="AH82" s="45">
        <f>IF($M$3="F",315*Z82/BB82,315*Z82/AV82)</f>
        <v>24.99010141458005</v>
      </c>
      <c r="AI82" s="46" t="str">
        <f t="shared" si="62"/>
        <v/>
      </c>
      <c r="AJ82" s="47">
        <f t="shared" si="14"/>
        <v>1.4244003419937049E-2</v>
      </c>
      <c r="AK82" s="61"/>
      <c r="AL82" s="22">
        <v>40</v>
      </c>
      <c r="AM82" s="8"/>
      <c r="AN82" s="8"/>
      <c r="AO82" s="8"/>
      <c r="AP82" s="8"/>
      <c r="AQ82" s="79"/>
      <c r="AR82" s="77" t="e">
        <f t="shared" si="42"/>
        <v>#N/A</v>
      </c>
      <c r="AS82" s="49">
        <v>5</v>
      </c>
      <c r="AT82" s="50">
        <f t="shared" si="15"/>
        <v>22500</v>
      </c>
      <c r="AU82" s="49">
        <v>20</v>
      </c>
      <c r="AV82" s="49">
        <f t="shared" si="16"/>
        <v>36000</v>
      </c>
      <c r="AW82" s="51">
        <f t="shared" si="17"/>
        <v>8.3500181462286776</v>
      </c>
      <c r="AX82" s="52">
        <f t="shared" si="28"/>
        <v>1.0000000000000009</v>
      </c>
      <c r="AY82" s="53">
        <f t="shared" si="18"/>
        <v>4500.0000000000036</v>
      </c>
      <c r="AZ82" s="59">
        <f t="shared" si="29"/>
        <v>11.599999999999966</v>
      </c>
      <c r="BA82" s="59">
        <f t="shared" si="30"/>
        <v>2000</v>
      </c>
      <c r="BB82" s="53">
        <f t="shared" si="36"/>
        <v>23199.999999999931</v>
      </c>
      <c r="BC82" s="53">
        <f t="shared" si="10"/>
        <v>5.1555555555555364</v>
      </c>
      <c r="BD82" s="52">
        <f t="shared" si="20"/>
        <v>15.800374409479932</v>
      </c>
      <c r="BE82" s="89" t="s">
        <v>57</v>
      </c>
      <c r="BF82" s="52"/>
      <c r="BG82" s="76">
        <v>46308</v>
      </c>
    </row>
    <row r="83" spans="9:59" x14ac:dyDescent="0.2">
      <c r="I83" s="73">
        <v>46309</v>
      </c>
      <c r="J83" s="42">
        <v>29</v>
      </c>
      <c r="K83" s="83"/>
      <c r="L83" s="42">
        <f t="shared" si="22"/>
        <v>3088.5074617986556</v>
      </c>
      <c r="M83" s="35">
        <f t="shared" si="0"/>
        <v>16.248314785495857</v>
      </c>
      <c r="N83" s="36">
        <f t="shared" si="23"/>
        <v>1840.5408025976362</v>
      </c>
      <c r="O83" s="8">
        <f t="shared" si="39"/>
        <v>0</v>
      </c>
      <c r="P83" s="56">
        <f t="shared" si="43"/>
        <v>0</v>
      </c>
      <c r="Q83" s="60" t="str">
        <f t="shared" si="44"/>
        <v/>
      </c>
      <c r="R83" s="60" t="str">
        <f t="shared" si="45"/>
        <v/>
      </c>
      <c r="S83" s="60" t="str">
        <f t="shared" si="51"/>
        <v/>
      </c>
      <c r="T83" s="60" t="str">
        <f t="shared" si="52"/>
        <v/>
      </c>
      <c r="U83" s="39">
        <f t="shared" si="40"/>
        <v>1840.5408025976362</v>
      </c>
      <c r="V83" s="40">
        <f t="shared" si="25"/>
        <v>1326.1465090712738</v>
      </c>
      <c r="W83" s="40">
        <f t="shared" si="3"/>
        <v>113.27579671466019</v>
      </c>
      <c r="X83" s="40">
        <f t="shared" si="41"/>
        <v>111.30272261209291</v>
      </c>
      <c r="Y83" s="40">
        <f>(X83*$D$42)-X83</f>
        <v>44.52108904483714</v>
      </c>
      <c r="Z83" s="42">
        <f t="shared" si="5"/>
        <v>1883.0888175399059</v>
      </c>
      <c r="AA83" s="42">
        <f t="shared" si="26"/>
        <v>42.548014942269674</v>
      </c>
      <c r="AB83" s="40">
        <f t="shared" si="6"/>
        <v>1328.1195831738412</v>
      </c>
      <c r="AC83" s="42">
        <f t="shared" si="7"/>
        <v>1.9730741025673524</v>
      </c>
      <c r="AD83" s="43">
        <f t="shared" si="13"/>
        <v>79.404336848568789</v>
      </c>
      <c r="AE83" s="42">
        <f t="shared" si="8"/>
        <v>3131.8040638651787</v>
      </c>
      <c r="AF83" s="43"/>
      <c r="AG83" s="44" t="e">
        <f t="shared" si="49"/>
        <v>#N/A</v>
      </c>
      <c r="AH83" s="45"/>
      <c r="AI83" s="46" t="str">
        <f t="shared" si="62"/>
        <v/>
      </c>
      <c r="AJ83" s="47">
        <f t="shared" si="14"/>
        <v>1.4135208991551497E-2</v>
      </c>
      <c r="AK83" s="61"/>
      <c r="AL83" s="22">
        <v>41</v>
      </c>
      <c r="AM83" s="8">
        <f>$M$5</f>
        <v>0</v>
      </c>
      <c r="AN83" s="8"/>
      <c r="AO83" s="8">
        <f>$M$5</f>
        <v>0</v>
      </c>
      <c r="AP83" s="8">
        <f>$M$5</f>
        <v>0</v>
      </c>
      <c r="AQ83" s="8">
        <f>$M$5</f>
        <v>0</v>
      </c>
      <c r="AR83" s="77" t="e">
        <f t="shared" si="42"/>
        <v>#N/A</v>
      </c>
      <c r="AS83" s="49">
        <v>5</v>
      </c>
      <c r="AT83" s="50">
        <f t="shared" si="15"/>
        <v>22500</v>
      </c>
      <c r="AU83" s="49">
        <v>20</v>
      </c>
      <c r="AV83" s="49">
        <f t="shared" si="16"/>
        <v>36000</v>
      </c>
      <c r="AW83" s="51">
        <f t="shared" si="17"/>
        <v>8.3500181462286776</v>
      </c>
      <c r="AX83" s="52">
        <f t="shared" si="28"/>
        <v>0.90000000000000091</v>
      </c>
      <c r="AY83" s="53">
        <f t="shared" si="18"/>
        <v>4050.0000000000041</v>
      </c>
      <c r="AZ83" s="59">
        <f t="shared" si="29"/>
        <v>11.389999999999965</v>
      </c>
      <c r="BA83" s="59">
        <f t="shared" si="30"/>
        <v>2005</v>
      </c>
      <c r="BB83" s="53">
        <f t="shared" si="36"/>
        <v>22836.949999999932</v>
      </c>
      <c r="BC83" s="53">
        <f t="shared" si="10"/>
        <v>5.6387530864197304</v>
      </c>
      <c r="BD83" s="52">
        <f t="shared" si="20"/>
        <v>16.248314785495857</v>
      </c>
      <c r="BE83" s="89" t="s">
        <v>57</v>
      </c>
      <c r="BF83" s="52"/>
      <c r="BG83" s="76">
        <v>46309</v>
      </c>
    </row>
    <row r="84" spans="9:59" x14ac:dyDescent="0.2">
      <c r="I84" s="73">
        <v>46310</v>
      </c>
      <c r="J84" s="42">
        <v>30</v>
      </c>
      <c r="K84" s="83"/>
      <c r="L84" s="42">
        <f t="shared" si="22"/>
        <v>3131.8040638651787</v>
      </c>
      <c r="M84" s="35">
        <f t="shared" si="0"/>
        <v>16.756636721679342</v>
      </c>
      <c r="N84" s="36">
        <f t="shared" si="23"/>
        <v>1883.0888175399059</v>
      </c>
      <c r="O84" s="8">
        <f t="shared" si="39"/>
        <v>0</v>
      </c>
      <c r="P84" s="56">
        <f t="shared" si="43"/>
        <v>0</v>
      </c>
      <c r="Q84" s="60" t="str">
        <f t="shared" si="44"/>
        <v/>
      </c>
      <c r="R84" s="60" t="str">
        <f t="shared" si="45"/>
        <v/>
      </c>
      <c r="S84" s="60" t="str">
        <f t="shared" si="51"/>
        <v/>
      </c>
      <c r="T84" s="60" t="str">
        <f t="shared" si="52"/>
        <v/>
      </c>
      <c r="U84" s="39">
        <f t="shared" si="40"/>
        <v>1883.0888175399059</v>
      </c>
      <c r="V84" s="40">
        <f t="shared" si="25"/>
        <v>1328.1195831738412</v>
      </c>
      <c r="W84" s="40">
        <f t="shared" si="3"/>
        <v>112.37868605837888</v>
      </c>
      <c r="X84" s="40">
        <f t="shared" si="41"/>
        <v>111.91675547252967</v>
      </c>
      <c r="Y84" s="40">
        <f>(X84*$D$42)-X84</f>
        <v>44.766702189011852</v>
      </c>
      <c r="Z84" s="42">
        <f t="shared" si="5"/>
        <v>1927.3935891430685</v>
      </c>
      <c r="AA84" s="42">
        <f t="shared" si="26"/>
        <v>44.304771603162635</v>
      </c>
      <c r="AB84" s="40">
        <f t="shared" si="6"/>
        <v>1328.5815137596903</v>
      </c>
      <c r="AC84" s="42">
        <f t="shared" si="7"/>
        <v>0.4619305858491316</v>
      </c>
      <c r="AD84" s="43">
        <f t="shared" si="13"/>
        <v>80.652247080256558</v>
      </c>
      <c r="AE84" s="42">
        <f t="shared" si="8"/>
        <v>3175.3228558225023</v>
      </c>
      <c r="AF84" s="43">
        <f t="shared" ref="AF84" si="66">AD84</f>
        <v>80.652247080256558</v>
      </c>
      <c r="AG84" s="44" t="e">
        <f t="shared" si="49"/>
        <v>#N/A</v>
      </c>
      <c r="AH84" s="45"/>
      <c r="AI84" s="46" t="str">
        <f t="shared" si="62"/>
        <v/>
      </c>
      <c r="AJ84" s="47">
        <f t="shared" si="14"/>
        <v>1.4018616630218014E-2</v>
      </c>
      <c r="AK84" s="34">
        <f>L84</f>
        <v>3131.8040638651787</v>
      </c>
      <c r="AL84" s="22">
        <v>42</v>
      </c>
      <c r="AM84" s="8"/>
      <c r="AN84" s="8">
        <f>$M$5</f>
        <v>0</v>
      </c>
      <c r="AO84" s="8"/>
      <c r="AP84" s="8"/>
      <c r="AQ84" s="8"/>
      <c r="AR84" s="77" t="e">
        <f t="shared" si="42"/>
        <v>#N/A</v>
      </c>
      <c r="AS84" s="49">
        <v>5</v>
      </c>
      <c r="AT84" s="50">
        <f t="shared" si="15"/>
        <v>22500</v>
      </c>
      <c r="AU84" s="49">
        <v>20</v>
      </c>
      <c r="AV84" s="49">
        <f t="shared" si="16"/>
        <v>36000</v>
      </c>
      <c r="AW84" s="51">
        <f t="shared" si="17"/>
        <v>8.3500181462286776</v>
      </c>
      <c r="AX84" s="52">
        <f t="shared" si="28"/>
        <v>0.80000000000000093</v>
      </c>
      <c r="AY84" s="53">
        <f t="shared" si="18"/>
        <v>3600.0000000000041</v>
      </c>
      <c r="AZ84" s="59">
        <f t="shared" si="29"/>
        <v>11.179999999999964</v>
      </c>
      <c r="BA84" s="59">
        <f t="shared" si="30"/>
        <v>2010</v>
      </c>
      <c r="BB84" s="53">
        <f t="shared" si="36"/>
        <v>22471.799999999927</v>
      </c>
      <c r="BC84" s="53">
        <f t="shared" si="10"/>
        <v>6.2421666666666393</v>
      </c>
      <c r="BD84" s="52">
        <f t="shared" si="20"/>
        <v>16.756636721679342</v>
      </c>
      <c r="BE84" s="89" t="s">
        <v>57</v>
      </c>
      <c r="BF84" s="52"/>
      <c r="BG84" s="76">
        <v>46310</v>
      </c>
    </row>
    <row r="85" spans="9:59" x14ac:dyDescent="0.2">
      <c r="I85" s="73">
        <v>46311</v>
      </c>
      <c r="J85" s="42">
        <v>31</v>
      </c>
      <c r="K85" s="83"/>
      <c r="L85" s="42">
        <f t="shared" si="22"/>
        <v>3175.3228558225023</v>
      </c>
      <c r="M85" s="35">
        <f t="shared" si="0"/>
        <v>17.341905084241194</v>
      </c>
      <c r="N85" s="36">
        <f t="shared" si="23"/>
        <v>1927.3935891430685</v>
      </c>
      <c r="O85" s="8">
        <f t="shared" si="39"/>
        <v>0</v>
      </c>
      <c r="P85" s="56">
        <f t="shared" si="43"/>
        <v>0</v>
      </c>
      <c r="Q85" s="60" t="str">
        <f t="shared" si="44"/>
        <v/>
      </c>
      <c r="R85" s="60" t="str">
        <f t="shared" si="45"/>
        <v/>
      </c>
      <c r="S85" s="60" t="str">
        <f t="shared" si="51"/>
        <v/>
      </c>
      <c r="T85" s="60" t="str">
        <f t="shared" si="52"/>
        <v/>
      </c>
      <c r="U85" s="39">
        <f t="shared" si="40"/>
        <v>1927.3935891430685</v>
      </c>
      <c r="V85" s="40">
        <f t="shared" si="25"/>
        <v>1328.5815137596903</v>
      </c>
      <c r="W85" s="40">
        <f t="shared" si="3"/>
        <v>111.14082217498211</v>
      </c>
      <c r="X85" s="40">
        <f t="shared" si="41"/>
        <v>112.48144049113669</v>
      </c>
      <c r="Y85" s="40">
        <f>(X85*$D$42)-X85</f>
        <v>44.992576196454664</v>
      </c>
      <c r="Z85" s="42">
        <f t="shared" si="5"/>
        <v>1973.7267836556778</v>
      </c>
      <c r="AA85" s="42">
        <f t="shared" si="26"/>
        <v>46.333194512609225</v>
      </c>
      <c r="AB85" s="40">
        <f t="shared" si="6"/>
        <v>1327.2408954435357</v>
      </c>
      <c r="AC85" s="42">
        <f t="shared" si="7"/>
        <v>-1.3406183161546323</v>
      </c>
      <c r="AD85" s="43">
        <f t="shared" si="13"/>
        <v>81.929271875917721</v>
      </c>
      <c r="AE85" s="42">
        <f t="shared" si="8"/>
        <v>3219.0384072232955</v>
      </c>
      <c r="AF85" s="43"/>
      <c r="AG85" s="44" t="e">
        <f t="shared" si="49"/>
        <v>#N/A</v>
      </c>
      <c r="AH85" s="45"/>
      <c r="AI85" s="46" t="str">
        <f t="shared" si="62"/>
        <v/>
      </c>
      <c r="AJ85" s="47">
        <f t="shared" si="14"/>
        <v>1.3895758185974777E-2</v>
      </c>
      <c r="AK85" s="61"/>
      <c r="AL85" s="22">
        <v>43</v>
      </c>
      <c r="AM85" s="8"/>
      <c r="AN85" s="8"/>
      <c r="AO85" s="8"/>
      <c r="AP85" s="8"/>
      <c r="AQ85" s="8"/>
      <c r="AR85" s="77" t="e">
        <f t="shared" si="42"/>
        <v>#N/A</v>
      </c>
      <c r="AS85" s="49">
        <v>5</v>
      </c>
      <c r="AT85" s="50">
        <f t="shared" si="15"/>
        <v>22500</v>
      </c>
      <c r="AU85" s="49">
        <v>20</v>
      </c>
      <c r="AV85" s="49">
        <f t="shared" si="16"/>
        <v>36000</v>
      </c>
      <c r="AW85" s="51">
        <f t="shared" si="17"/>
        <v>8.3500181462286776</v>
      </c>
      <c r="AX85" s="52">
        <f t="shared" si="28"/>
        <v>0.70000000000000095</v>
      </c>
      <c r="AY85" s="53">
        <f t="shared" si="18"/>
        <v>3150.0000000000041</v>
      </c>
      <c r="AZ85" s="59">
        <f t="shared" si="29"/>
        <v>10.969999999999963</v>
      </c>
      <c r="BA85" s="59">
        <f t="shared" si="30"/>
        <v>2015</v>
      </c>
      <c r="BB85" s="53">
        <f t="shared" si="36"/>
        <v>22104.549999999927</v>
      </c>
      <c r="BC85" s="53">
        <f t="shared" si="10"/>
        <v>7.017317460317428</v>
      </c>
      <c r="BD85" s="52">
        <f t="shared" si="20"/>
        <v>17.341905084241194</v>
      </c>
      <c r="BE85" s="89" t="s">
        <v>57</v>
      </c>
      <c r="BF85" s="52"/>
      <c r="BG85" s="76">
        <v>46311</v>
      </c>
    </row>
    <row r="86" spans="9:59" x14ac:dyDescent="0.2">
      <c r="I86" s="73">
        <v>46312</v>
      </c>
      <c r="J86" s="42">
        <v>32</v>
      </c>
      <c r="K86" s="83"/>
      <c r="L86" s="42">
        <f t="shared" si="22"/>
        <v>3219.0384072232955</v>
      </c>
      <c r="M86" s="35">
        <f t="shared" si="0"/>
        <v>18.028406465682316</v>
      </c>
      <c r="N86" s="36">
        <f t="shared" si="23"/>
        <v>1973.7267836556778</v>
      </c>
      <c r="O86" s="8">
        <f t="shared" si="39"/>
        <v>0</v>
      </c>
      <c r="P86" s="56">
        <f t="shared" si="43"/>
        <v>0</v>
      </c>
      <c r="Q86" s="60" t="str">
        <f t="shared" si="44"/>
        <v/>
      </c>
      <c r="R86" s="60" t="str">
        <f t="shared" si="45"/>
        <v/>
      </c>
      <c r="S86" s="60" t="str">
        <f t="shared" si="51"/>
        <v/>
      </c>
      <c r="T86" s="60" t="str">
        <f t="shared" si="52"/>
        <v/>
      </c>
      <c r="U86" s="39">
        <f t="shared" si="40"/>
        <v>1973.7267836556778</v>
      </c>
      <c r="V86" s="40">
        <f t="shared" si="25"/>
        <v>1327.2408954435357</v>
      </c>
      <c r="W86" s="40">
        <f t="shared" si="3"/>
        <v>109.47871557104804</v>
      </c>
      <c r="X86" s="40">
        <f t="shared" si="41"/>
        <v>112.99422286162046</v>
      </c>
      <c r="Y86" s="40">
        <f>(X86*$D$42)-X86</f>
        <v>45.19768914464818</v>
      </c>
      <c r="Z86" s="42">
        <f t="shared" si="5"/>
        <v>2022.4399800908984</v>
      </c>
      <c r="AA86" s="42">
        <f t="shared" si="26"/>
        <v>48.713196435220652</v>
      </c>
      <c r="AB86" s="40">
        <f t="shared" si="6"/>
        <v>1323.7253881529632</v>
      </c>
      <c r="AC86" s="42">
        <f t="shared" si="7"/>
        <v>-3.5155072905724865</v>
      </c>
      <c r="AD86" s="43">
        <f t="shared" si="13"/>
        <v>83.24143644987808</v>
      </c>
      <c r="AE86" s="42">
        <f t="shared" si="8"/>
        <v>3262.9239317939837</v>
      </c>
      <c r="AF86" s="43">
        <f t="shared" ref="AF86" si="67">AD86</f>
        <v>83.24143644987808</v>
      </c>
      <c r="AG86" s="44" t="e">
        <f t="shared" si="49"/>
        <v>#N/A</v>
      </c>
      <c r="AH86" s="45"/>
      <c r="AI86" s="46" t="str">
        <f t="shared" si="62"/>
        <v/>
      </c>
      <c r="AJ86" s="47">
        <f t="shared" si="14"/>
        <v>1.3767277655131404E-2</v>
      </c>
      <c r="AK86" s="61"/>
      <c r="AL86" s="22">
        <v>44</v>
      </c>
      <c r="AM86" s="8"/>
      <c r="AN86" s="8"/>
      <c r="AO86" s="8"/>
      <c r="AP86" s="8"/>
      <c r="AQ86" s="8"/>
      <c r="AR86" s="77" t="e">
        <f t="shared" si="42"/>
        <v>#N/A</v>
      </c>
      <c r="AS86" s="49">
        <v>5</v>
      </c>
      <c r="AT86" s="50">
        <f t="shared" si="15"/>
        <v>22500</v>
      </c>
      <c r="AU86" s="49">
        <v>20</v>
      </c>
      <c r="AV86" s="49">
        <f t="shared" si="16"/>
        <v>36000</v>
      </c>
      <c r="AW86" s="51">
        <f t="shared" si="17"/>
        <v>8.3500181462286776</v>
      </c>
      <c r="AX86" s="52">
        <f t="shared" si="28"/>
        <v>0.60000000000000098</v>
      </c>
      <c r="AY86" s="53">
        <f t="shared" si="18"/>
        <v>2700.0000000000045</v>
      </c>
      <c r="AZ86" s="59">
        <f t="shared" si="29"/>
        <v>10.759999999999962</v>
      </c>
      <c r="BA86" s="59">
        <f t="shared" si="30"/>
        <v>2020</v>
      </c>
      <c r="BB86" s="53">
        <f t="shared" si="36"/>
        <v>21735.199999999924</v>
      </c>
      <c r="BC86" s="53">
        <f t="shared" si="10"/>
        <v>8.0500740740740326</v>
      </c>
      <c r="BD86" s="52">
        <f t="shared" si="20"/>
        <v>18.028406465682316</v>
      </c>
      <c r="BE86" s="89" t="s">
        <v>57</v>
      </c>
      <c r="BF86" s="52"/>
      <c r="BG86" s="76">
        <v>46312</v>
      </c>
    </row>
    <row r="87" spans="9:59" x14ac:dyDescent="0.2">
      <c r="I87" s="73">
        <v>46313</v>
      </c>
      <c r="J87" s="42">
        <v>33</v>
      </c>
      <c r="K87" s="83"/>
      <c r="L87" s="42">
        <f t="shared" si="22"/>
        <v>3262.9239317939837</v>
      </c>
      <c r="M87" s="35">
        <f t="shared" si="0"/>
        <v>18.853826721321219</v>
      </c>
      <c r="N87" s="36">
        <f t="shared" si="23"/>
        <v>2022.4399800908984</v>
      </c>
      <c r="O87" s="8">
        <f t="shared" ref="O87:O114" si="68">IF($M$6="",0,IF($M$6="C",K87*$M$5,IF($M$6=4,AM87,IF($M$6=5,AN87,IF($M$6=7,AO87,IF($M$6=10,AP87,IF($M$6=14,AQ87,"")))))))</f>
        <v>0</v>
      </c>
      <c r="P87" s="56">
        <f t="shared" si="43"/>
        <v>0</v>
      </c>
      <c r="Q87" s="60" t="str">
        <f t="shared" si="44"/>
        <v/>
      </c>
      <c r="R87" s="60" t="str">
        <f t="shared" si="45"/>
        <v/>
      </c>
      <c r="S87" s="60" t="str">
        <f t="shared" si="51"/>
        <v/>
      </c>
      <c r="T87" s="60" t="str">
        <f t="shared" si="52"/>
        <v/>
      </c>
      <c r="U87" s="39">
        <f t="shared" si="40"/>
        <v>2022.4399800908984</v>
      </c>
      <c r="V87" s="40">
        <f t="shared" si="25"/>
        <v>1323.7253881529632</v>
      </c>
      <c r="W87" s="40">
        <f t="shared" si="3"/>
        <v>107.2694689510317</v>
      </c>
      <c r="X87" s="40">
        <f t="shared" si="41"/>
        <v>113.449224181265</v>
      </c>
      <c r="Y87" s="40">
        <f>(X87*$D$42)-X87</f>
        <v>45.37968967250599</v>
      </c>
      <c r="Z87" s="42">
        <f t="shared" si="5"/>
        <v>2073.9994249936376</v>
      </c>
      <c r="AA87" s="42">
        <f t="shared" si="26"/>
        <v>51.559444902739187</v>
      </c>
      <c r="AB87" s="40">
        <f t="shared" si="6"/>
        <v>1317.54563292273</v>
      </c>
      <c r="AC87" s="42">
        <f t="shared" si="7"/>
        <v>-6.1797552302332406</v>
      </c>
      <c r="AD87" s="43">
        <f t="shared" si="13"/>
        <v>84.595766756651969</v>
      </c>
      <c r="AE87" s="42">
        <f t="shared" si="8"/>
        <v>3306.9492911597158</v>
      </c>
      <c r="AF87" s="43"/>
      <c r="AG87" s="44" t="e">
        <f t="shared" si="49"/>
        <v>#N/A</v>
      </c>
      <c r="AH87" s="45"/>
      <c r="AI87" s="46" t="str">
        <f t="shared" si="62"/>
        <v/>
      </c>
      <c r="AJ87" s="47">
        <f t="shared" si="14"/>
        <v>1.3633116172895653E-2</v>
      </c>
      <c r="AK87" s="34"/>
      <c r="AL87" s="22">
        <v>45</v>
      </c>
      <c r="AM87" s="8">
        <f>$M$5</f>
        <v>0</v>
      </c>
      <c r="AN87" s="8"/>
      <c r="AO87" s="8"/>
      <c r="AP87" s="8"/>
      <c r="AQ87" s="79"/>
      <c r="AR87" s="77" t="e">
        <f t="shared" si="42"/>
        <v>#N/A</v>
      </c>
      <c r="AS87" s="49">
        <v>5</v>
      </c>
      <c r="AT87" s="50">
        <f t="shared" si="15"/>
        <v>22500</v>
      </c>
      <c r="AU87" s="49">
        <v>20</v>
      </c>
      <c r="AV87" s="49">
        <f t="shared" si="16"/>
        <v>36000</v>
      </c>
      <c r="AW87" s="51">
        <f t="shared" si="17"/>
        <v>8.3500181462286776</v>
      </c>
      <c r="AX87" s="52">
        <f t="shared" si="28"/>
        <v>0.500000000000001</v>
      </c>
      <c r="AY87" s="53">
        <f t="shared" si="18"/>
        <v>2250.0000000000045</v>
      </c>
      <c r="AZ87" s="59">
        <f t="shared" si="29"/>
        <v>10.549999999999962</v>
      </c>
      <c r="BA87" s="59">
        <f t="shared" si="30"/>
        <v>2025</v>
      </c>
      <c r="BB87" s="53">
        <f t="shared" si="36"/>
        <v>21363.749999999924</v>
      </c>
      <c r="BC87" s="53">
        <f t="shared" si="10"/>
        <v>9.4949999999999477</v>
      </c>
      <c r="BD87" s="52">
        <f>5*LN(BB87/AY87)+7.6</f>
        <v>18.853826721321219</v>
      </c>
      <c r="BE87" s="88" t="s">
        <v>56</v>
      </c>
      <c r="BF87" s="91">
        <v>1</v>
      </c>
      <c r="BG87" s="76">
        <v>46313</v>
      </c>
    </row>
    <row r="88" spans="9:59" x14ac:dyDescent="0.2">
      <c r="I88" s="73">
        <v>46314</v>
      </c>
      <c r="J88" s="42">
        <v>34</v>
      </c>
      <c r="K88" s="83"/>
      <c r="L88" s="42">
        <f t="shared" si="22"/>
        <v>3306.9492911597158</v>
      </c>
      <c r="M88" s="35">
        <f t="shared" si="0"/>
        <v>19.88134498615927</v>
      </c>
      <c r="N88" s="36">
        <f t="shared" si="23"/>
        <v>2073.9994249936376</v>
      </c>
      <c r="O88" s="8">
        <f t="shared" si="68"/>
        <v>0</v>
      </c>
      <c r="P88" s="56">
        <f t="shared" si="43"/>
        <v>0</v>
      </c>
      <c r="Q88" s="60" t="str">
        <f t="shared" si="44"/>
        <v/>
      </c>
      <c r="R88" s="60" t="str">
        <f t="shared" si="45"/>
        <v/>
      </c>
      <c r="S88" s="60" t="str">
        <f t="shared" si="51"/>
        <v/>
      </c>
      <c r="T88" s="60" t="str">
        <f t="shared" si="52"/>
        <v/>
      </c>
      <c r="U88" s="39">
        <f t="shared" si="40"/>
        <v>2073.9994249936376</v>
      </c>
      <c r="V88" s="40">
        <f t="shared" si="25"/>
        <v>1317.54563292273</v>
      </c>
      <c r="W88" s="40">
        <f t="shared" si="3"/>
        <v>104.31886909248277</v>
      </c>
      <c r="X88" s="40">
        <f t="shared" si="41"/>
        <v>113.83770653575502</v>
      </c>
      <c r="Y88" s="40">
        <f>(X88*$D$42)-X88</f>
        <v>45.535082614301984</v>
      </c>
      <c r="Z88" s="42">
        <f t="shared" si="5"/>
        <v>2129.0533450512121</v>
      </c>
      <c r="AA88" s="42">
        <f t="shared" si="26"/>
        <v>55.053920057574487</v>
      </c>
      <c r="AB88" s="40">
        <f t="shared" si="6"/>
        <v>1308.0267954794579</v>
      </c>
      <c r="AC88" s="42">
        <f t="shared" si="7"/>
        <v>-9.5188374432721048</v>
      </c>
      <c r="AD88" s="43">
        <f t="shared" si="13"/>
        <v>86.001297585567443</v>
      </c>
      <c r="AE88" s="42">
        <f t="shared" si="8"/>
        <v>3351.0788429451027</v>
      </c>
      <c r="AF88" s="43">
        <f t="shared" ref="AF88" si="69">AD88</f>
        <v>86.001297585567443</v>
      </c>
      <c r="AG88" s="44" t="e">
        <f t="shared" si="49"/>
        <v>#N/A</v>
      </c>
      <c r="AH88" s="45"/>
      <c r="AI88" s="46" t="str">
        <f t="shared" si="62"/>
        <v/>
      </c>
      <c r="AJ88" s="47">
        <f t="shared" si="14"/>
        <v>1.349260978374283E-2</v>
      </c>
      <c r="AK88" s="61"/>
      <c r="AL88" s="22">
        <v>46</v>
      </c>
      <c r="AM88" s="8"/>
      <c r="AN88" s="8"/>
      <c r="AO88" s="79"/>
      <c r="AP88" s="79"/>
      <c r="AQ88" s="8"/>
      <c r="AR88" s="77" t="e">
        <f t="shared" si="42"/>
        <v>#N/A</v>
      </c>
      <c r="AS88" s="49">
        <v>5</v>
      </c>
      <c r="AT88" s="50">
        <f t="shared" si="15"/>
        <v>22500</v>
      </c>
      <c r="AU88" s="49">
        <v>20</v>
      </c>
      <c r="AV88" s="49">
        <f t="shared" si="16"/>
        <v>36000</v>
      </c>
      <c r="AW88" s="51">
        <f t="shared" si="17"/>
        <v>8.3500181462286776</v>
      </c>
      <c r="AX88" s="52">
        <f t="shared" si="28"/>
        <v>0.40000000000000102</v>
      </c>
      <c r="AY88" s="53">
        <f t="shared" si="18"/>
        <v>1800.0000000000045</v>
      </c>
      <c r="AZ88" s="59">
        <f t="shared" si="29"/>
        <v>10.339999999999961</v>
      </c>
      <c r="BA88" s="59">
        <f t="shared" si="30"/>
        <v>2030</v>
      </c>
      <c r="BB88" s="53">
        <f t="shared" si="36"/>
        <v>20990.199999999921</v>
      </c>
      <c r="BC88" s="53">
        <f t="shared" si="10"/>
        <v>11.661222222222149</v>
      </c>
      <c r="BD88" s="52">
        <f t="shared" si="20"/>
        <v>19.88134498615927</v>
      </c>
      <c r="BE88" s="88" t="s">
        <v>56</v>
      </c>
      <c r="BF88" s="91">
        <v>2</v>
      </c>
      <c r="BG88" s="76">
        <v>46314</v>
      </c>
    </row>
    <row r="89" spans="9:59" x14ac:dyDescent="0.2">
      <c r="I89" s="73">
        <v>46315</v>
      </c>
      <c r="J89" s="42">
        <v>35</v>
      </c>
      <c r="K89" s="83"/>
      <c r="L89" s="42">
        <f t="shared" si="22"/>
        <v>3351.0788429451027</v>
      </c>
      <c r="M89" s="35">
        <f t="shared" si="0"/>
        <v>21.229462723524023</v>
      </c>
      <c r="N89" s="36">
        <f t="shared" si="23"/>
        <v>2129.0533450512121</v>
      </c>
      <c r="O89" s="8">
        <f t="shared" si="68"/>
        <v>0</v>
      </c>
      <c r="P89" s="56">
        <f t="shared" si="43"/>
        <v>0</v>
      </c>
      <c r="Q89" s="60" t="str">
        <f t="shared" si="44"/>
        <v/>
      </c>
      <c r="R89" s="60" t="str">
        <f t="shared" si="45"/>
        <v/>
      </c>
      <c r="S89" s="60" t="str">
        <f t="shared" si="51"/>
        <v/>
      </c>
      <c r="T89" s="60" t="str">
        <f t="shared" si="52"/>
        <v/>
      </c>
      <c r="U89" s="39">
        <f t="shared" si="40"/>
        <v>2129.0533450512121</v>
      </c>
      <c r="V89" s="40">
        <f t="shared" si="25"/>
        <v>1308.0267954794579</v>
      </c>
      <c r="W89" s="40">
        <f t="shared" si="3"/>
        <v>100.28766967767125</v>
      </c>
      <c r="X89" s="40">
        <f t="shared" si="41"/>
        <v>114.14829345688857</v>
      </c>
      <c r="Y89" s="40">
        <f>(X89*$D$42)-X89</f>
        <v>45.659317382755418</v>
      </c>
      <c r="Z89" s="42">
        <f t="shared" si="5"/>
        <v>2188.5732862131849</v>
      </c>
      <c r="AA89" s="42">
        <f t="shared" si="26"/>
        <v>59.519941161972838</v>
      </c>
      <c r="AB89" s="40">
        <f t="shared" si="6"/>
        <v>1294.1661717002405</v>
      </c>
      <c r="AC89" s="42">
        <f t="shared" si="7"/>
        <v>-13.860623779217349</v>
      </c>
      <c r="AD89" s="43">
        <f t="shared" si="13"/>
        <v>87.470821663346882</v>
      </c>
      <c r="AE89" s="42">
        <f t="shared" si="8"/>
        <v>3395.2686362500785</v>
      </c>
      <c r="AF89" s="43"/>
      <c r="AG89" s="44" t="e">
        <f t="shared" si="49"/>
        <v>#N/A</v>
      </c>
      <c r="AH89" s="45"/>
      <c r="AI89" s="46" t="str">
        <f t="shared" si="62"/>
        <v/>
      </c>
      <c r="AJ89" s="47">
        <f t="shared" si="14"/>
        <v>1.3344490011793029E-2</v>
      </c>
      <c r="AK89" s="61"/>
      <c r="AL89" s="22">
        <v>47</v>
      </c>
      <c r="AM89" s="8"/>
      <c r="AN89" s="8">
        <f>$M$5</f>
        <v>0</v>
      </c>
      <c r="AO89" s="8"/>
      <c r="AP89" s="8"/>
      <c r="AQ89" s="79"/>
      <c r="AR89" s="77" t="e">
        <f t="shared" si="42"/>
        <v>#N/A</v>
      </c>
      <c r="AS89" s="49">
        <v>5</v>
      </c>
      <c r="AT89" s="50">
        <f t="shared" si="15"/>
        <v>22500</v>
      </c>
      <c r="AU89" s="49">
        <v>20</v>
      </c>
      <c r="AV89" s="49">
        <f t="shared" si="16"/>
        <v>36000</v>
      </c>
      <c r="AW89" s="51">
        <f t="shared" si="17"/>
        <v>8.3500181462286776</v>
      </c>
      <c r="AX89" s="52">
        <f t="shared" si="28"/>
        <v>0.30000000000000104</v>
      </c>
      <c r="AY89" s="53">
        <f t="shared" si="18"/>
        <v>1350.0000000000048</v>
      </c>
      <c r="AZ89" s="59">
        <f t="shared" si="29"/>
        <v>10.12999999999996</v>
      </c>
      <c r="BA89" s="59">
        <f t="shared" si="30"/>
        <v>2035</v>
      </c>
      <c r="BB89" s="53">
        <f t="shared" si="36"/>
        <v>20614.549999999919</v>
      </c>
      <c r="BC89" s="53">
        <f t="shared" si="10"/>
        <v>15.270037037036923</v>
      </c>
      <c r="BD89" s="52">
        <f t="shared" si="20"/>
        <v>21.229462723524023</v>
      </c>
      <c r="BE89" s="88" t="s">
        <v>56</v>
      </c>
      <c r="BF89" s="91">
        <v>3</v>
      </c>
      <c r="BG89" s="76">
        <v>46315</v>
      </c>
    </row>
    <row r="90" spans="9:59" x14ac:dyDescent="0.2">
      <c r="I90" s="73">
        <v>46316</v>
      </c>
      <c r="J90" s="42">
        <v>36</v>
      </c>
      <c r="K90" s="83"/>
      <c r="L90" s="42">
        <f t="shared" si="22"/>
        <v>3395.2686362500785</v>
      </c>
      <c r="M90" s="35">
        <f t="shared" si="0"/>
        <v>23.20447708253996</v>
      </c>
      <c r="N90" s="36">
        <f t="shared" si="23"/>
        <v>2188.5732862131849</v>
      </c>
      <c r="O90" s="8">
        <f t="shared" si="68"/>
        <v>0</v>
      </c>
      <c r="P90" s="56">
        <f t="shared" si="43"/>
        <v>0</v>
      </c>
      <c r="Q90" s="60" t="str">
        <f t="shared" si="44"/>
        <v/>
      </c>
      <c r="R90" s="60" t="str">
        <f t="shared" si="45"/>
        <v/>
      </c>
      <c r="S90" s="60" t="str">
        <f t="shared" si="51"/>
        <v/>
      </c>
      <c r="T90" s="60" t="str">
        <f t="shared" si="52"/>
        <v/>
      </c>
      <c r="U90" s="39">
        <f t="shared" si="40"/>
        <v>2188.5732862131849</v>
      </c>
      <c r="V90" s="40">
        <f t="shared" si="25"/>
        <v>1294.1661717002405</v>
      </c>
      <c r="W90" s="40">
        <f t="shared" si="3"/>
        <v>94.316854390998586</v>
      </c>
      <c r="X90" s="40">
        <f t="shared" si="41"/>
        <v>114.36696697536848</v>
      </c>
      <c r="Y90" s="40">
        <f>(X90*$D$42)-X90</f>
        <v>45.746786790147382</v>
      </c>
      <c r="Z90" s="42">
        <f t="shared" si="5"/>
        <v>2254.3701855877021</v>
      </c>
      <c r="AA90" s="42">
        <f t="shared" si="26"/>
        <v>65.796899374517125</v>
      </c>
      <c r="AB90" s="40">
        <f t="shared" si="6"/>
        <v>1274.1160591158705</v>
      </c>
      <c r="AC90" s="42">
        <f t="shared" si="7"/>
        <v>-20.050112584370027</v>
      </c>
      <c r="AD90" s="43">
        <f t="shared" si="13"/>
        <v>89.02442224794018</v>
      </c>
      <c r="AE90" s="42">
        <f t="shared" si="8"/>
        <v>3439.4618224556325</v>
      </c>
      <c r="AF90" s="43">
        <f t="shared" ref="AF90" si="70">AD90</f>
        <v>89.02442224794018</v>
      </c>
      <c r="AG90" s="44" t="e">
        <f t="shared" si="49"/>
        <v>#N/A</v>
      </c>
      <c r="AH90" s="45"/>
      <c r="AI90" s="46" t="str">
        <f t="shared" si="62"/>
        <v/>
      </c>
      <c r="AJ90" s="47">
        <f t="shared" si="14"/>
        <v>1.3186736384316035E-2</v>
      </c>
      <c r="AK90" s="34">
        <f>L90</f>
        <v>3395.2686362500785</v>
      </c>
      <c r="AL90" s="22">
        <v>48</v>
      </c>
      <c r="AM90" s="8"/>
      <c r="AN90" s="8"/>
      <c r="AO90" s="8">
        <f>$M$5</f>
        <v>0</v>
      </c>
      <c r="AP90" s="79"/>
      <c r="AQ90" s="8"/>
      <c r="AR90" s="77" t="e">
        <f t="shared" si="42"/>
        <v>#N/A</v>
      </c>
      <c r="AS90" s="49">
        <v>5</v>
      </c>
      <c r="AT90" s="50">
        <f t="shared" si="15"/>
        <v>22500</v>
      </c>
      <c r="AU90" s="49">
        <v>20</v>
      </c>
      <c r="AV90" s="49">
        <f t="shared" si="16"/>
        <v>36000</v>
      </c>
      <c r="AW90" s="51">
        <f t="shared" si="17"/>
        <v>8.3500181462286776</v>
      </c>
      <c r="AX90" s="52">
        <f t="shared" si="28"/>
        <v>0.20000000000000104</v>
      </c>
      <c r="AY90" s="53">
        <f t="shared" si="18"/>
        <v>900.00000000000466</v>
      </c>
      <c r="AZ90" s="59">
        <v>10</v>
      </c>
      <c r="BA90" s="59">
        <f t="shared" si="30"/>
        <v>2040</v>
      </c>
      <c r="BB90" s="53">
        <f t="shared" si="36"/>
        <v>20400</v>
      </c>
      <c r="BC90" s="53">
        <f t="shared" si="10"/>
        <v>22.666666666666551</v>
      </c>
      <c r="BD90" s="52">
        <f t="shared" si="20"/>
        <v>23.20447708253996</v>
      </c>
      <c r="BE90" s="88" t="s">
        <v>56</v>
      </c>
      <c r="BF90" s="91">
        <v>4</v>
      </c>
      <c r="BG90" s="76">
        <v>46316</v>
      </c>
    </row>
    <row r="91" spans="9:59" x14ac:dyDescent="0.2">
      <c r="I91" s="73">
        <v>46317</v>
      </c>
      <c r="J91" s="42">
        <v>37</v>
      </c>
      <c r="K91" s="83"/>
      <c r="L91" s="42">
        <f t="shared" si="22"/>
        <v>3439.4618224556325</v>
      </c>
      <c r="M91" s="35">
        <f t="shared" si="0"/>
        <v>26.571199848858761</v>
      </c>
      <c r="N91" s="36">
        <f t="shared" si="23"/>
        <v>2254.3701855877021</v>
      </c>
      <c r="O91" s="8">
        <f t="shared" si="68"/>
        <v>0</v>
      </c>
      <c r="P91" s="56">
        <f t="shared" si="43"/>
        <v>0</v>
      </c>
      <c r="Q91" s="60" t="str">
        <f t="shared" si="44"/>
        <v/>
      </c>
      <c r="R91" s="60" t="str">
        <f t="shared" si="45"/>
        <v/>
      </c>
      <c r="S91" s="60" t="str">
        <f t="shared" si="51"/>
        <v/>
      </c>
      <c r="T91" s="60" t="str">
        <f t="shared" si="52"/>
        <v/>
      </c>
      <c r="U91" s="39">
        <f t="shared" si="40"/>
        <v>2254.3701855877021</v>
      </c>
      <c r="V91" s="40">
        <f t="shared" si="25"/>
        <v>1274.1160591158705</v>
      </c>
      <c r="W91" s="40">
        <f t="shared" si="3"/>
        <v>84.842619016488555</v>
      </c>
      <c r="X91" s="40">
        <f t="shared" si="41"/>
        <v>114.47683749252754</v>
      </c>
      <c r="Y91" s="40">
        <f>(X91*$D$42)-X91</f>
        <v>45.790734997011</v>
      </c>
      <c r="Z91" s="42">
        <f t="shared" si="5"/>
        <v>2329.7951390607518</v>
      </c>
      <c r="AA91" s="42">
        <f t="shared" si="26"/>
        <v>75.424953473049754</v>
      </c>
      <c r="AB91" s="40">
        <f t="shared" si="6"/>
        <v>1244.4818406398315</v>
      </c>
      <c r="AC91" s="42">
        <f t="shared" si="7"/>
        <v>-29.634218476038996</v>
      </c>
      <c r="AD91" s="43">
        <f t="shared" si="13"/>
        <v>90.702305887450819</v>
      </c>
      <c r="AE91" s="42">
        <f t="shared" si="8"/>
        <v>3483.5746738131324</v>
      </c>
      <c r="AF91" s="43"/>
      <c r="AG91" s="44" t="e">
        <f t="shared" si="49"/>
        <v>#N/A</v>
      </c>
      <c r="AH91" s="45"/>
      <c r="AI91" s="46" t="str">
        <f t="shared" si="62"/>
        <v/>
      </c>
      <c r="AJ91" s="47">
        <f t="shared" si="14"/>
        <v>1.301610886800502E-2</v>
      </c>
      <c r="AK91" s="61"/>
      <c r="AL91" s="22">
        <v>49</v>
      </c>
      <c r="AM91" s="8">
        <f>$M$5</f>
        <v>0</v>
      </c>
      <c r="AN91" s="8"/>
      <c r="AO91" s="8"/>
      <c r="AP91" s="8"/>
      <c r="AQ91" s="8"/>
      <c r="AR91" s="77" t="e">
        <f t="shared" si="42"/>
        <v>#N/A</v>
      </c>
      <c r="AS91" s="49">
        <v>5</v>
      </c>
      <c r="AT91" s="50">
        <f t="shared" si="15"/>
        <v>22500</v>
      </c>
      <c r="AU91" s="49">
        <v>20</v>
      </c>
      <c r="AV91" s="49">
        <f t="shared" si="16"/>
        <v>36000</v>
      </c>
      <c r="AW91" s="51">
        <f t="shared" si="17"/>
        <v>8.3500181462286776</v>
      </c>
      <c r="AX91" s="52">
        <f t="shared" si="28"/>
        <v>0.10000000000000103</v>
      </c>
      <c r="AY91" s="53">
        <f t="shared" si="18"/>
        <v>450.00000000000466</v>
      </c>
      <c r="AZ91" s="59">
        <v>10</v>
      </c>
      <c r="BA91" s="59">
        <f t="shared" si="30"/>
        <v>2045</v>
      </c>
      <c r="BB91" s="53">
        <v>20000</v>
      </c>
      <c r="BC91" s="53">
        <f t="shared" si="10"/>
        <v>44.444444444443981</v>
      </c>
      <c r="BD91" s="52">
        <f t="shared" si="20"/>
        <v>26.571199848858761</v>
      </c>
      <c r="BE91" s="88" t="s">
        <v>56</v>
      </c>
      <c r="BF91" s="91">
        <v>5</v>
      </c>
      <c r="BG91" s="76">
        <v>46317</v>
      </c>
    </row>
    <row r="92" spans="9:59" x14ac:dyDescent="0.2">
      <c r="I92" s="73">
        <v>46318</v>
      </c>
      <c r="J92" s="42">
        <v>38</v>
      </c>
      <c r="K92" s="83"/>
      <c r="L92" s="42">
        <f t="shared" si="22"/>
        <v>3483.5746738131324</v>
      </c>
      <c r="M92" s="35">
        <f t="shared" si="0"/>
        <v>26.571199848858811</v>
      </c>
      <c r="N92" s="36">
        <f t="shared" si="23"/>
        <v>2329.7951390607518</v>
      </c>
      <c r="O92" s="8">
        <f t="shared" si="68"/>
        <v>0</v>
      </c>
      <c r="P92" s="56">
        <f t="shared" si="43"/>
        <v>0</v>
      </c>
      <c r="Q92" s="60" t="str">
        <f t="shared" si="44"/>
        <v/>
      </c>
      <c r="R92" s="60" t="str">
        <f t="shared" si="45"/>
        <v/>
      </c>
      <c r="S92" s="60" t="str">
        <f t="shared" si="51"/>
        <v/>
      </c>
      <c r="T92" s="60" t="str">
        <f t="shared" si="52"/>
        <v/>
      </c>
      <c r="U92" s="39">
        <f t="shared" si="40"/>
        <v>2329.7951390607518</v>
      </c>
      <c r="V92" s="40">
        <f t="shared" si="25"/>
        <v>1244.4818406398315</v>
      </c>
      <c r="W92" s="40">
        <f t="shared" si="3"/>
        <v>87.681216968484492</v>
      </c>
      <c r="X92" s="40">
        <f t="shared" si="41"/>
        <v>114.45765580556046</v>
      </c>
      <c r="Y92" s="40">
        <f>(X92*$D$42)-X92</f>
        <v>45.783062322224183</v>
      </c>
      <c r="Z92" s="42">
        <f t="shared" si="5"/>
        <v>2402.3546402200523</v>
      </c>
      <c r="AA92" s="42">
        <f t="shared" si="26"/>
        <v>72.559501159300453</v>
      </c>
      <c r="AB92" s="40">
        <f t="shared" si="6"/>
        <v>1217.7054018027554</v>
      </c>
      <c r="AC92" s="42">
        <f t="shared" si="7"/>
        <v>-26.776438837076057</v>
      </c>
      <c r="AD92" s="43">
        <f t="shared" si="13"/>
        <v>92.582175218186933</v>
      </c>
      <c r="AE92" s="42">
        <f t="shared" si="8"/>
        <v>3527.4778668046206</v>
      </c>
      <c r="AF92" s="43">
        <f t="shared" ref="AF92" si="71">AD92</f>
        <v>92.582175218186933</v>
      </c>
      <c r="AG92" s="44" t="e">
        <f t="shared" si="49"/>
        <v>#N/A</v>
      </c>
      <c r="AH92" s="45">
        <f>IF($M$3="F",315*Z92/BB92,315*Z92/AV92)</f>
        <v>37.837085583465829</v>
      </c>
      <c r="AI92" s="46" t="str">
        <f t="shared" si="62"/>
        <v/>
      </c>
      <c r="AJ92" s="47">
        <f t="shared" si="14"/>
        <v>1.2825509813626949E-2</v>
      </c>
      <c r="AK92" s="61"/>
      <c r="AL92" s="22">
        <v>50</v>
      </c>
      <c r="AM92" s="8"/>
      <c r="AN92" s="8"/>
      <c r="AO92" s="8"/>
      <c r="AP92" s="8"/>
      <c r="AQ92" s="79"/>
      <c r="AR92" s="77" t="e">
        <f t="shared" si="42"/>
        <v>#N/A</v>
      </c>
      <c r="AS92" s="49">
        <v>5</v>
      </c>
      <c r="AT92" s="50">
        <f t="shared" si="15"/>
        <v>22500</v>
      </c>
      <c r="AU92" s="49">
        <v>20</v>
      </c>
      <c r="AV92" s="49">
        <f t="shared" si="16"/>
        <v>36000</v>
      </c>
      <c r="AW92" s="51">
        <f t="shared" si="17"/>
        <v>8.3500181462286776</v>
      </c>
      <c r="AX92" s="52">
        <v>0.1</v>
      </c>
      <c r="AY92" s="53">
        <f t="shared" si="18"/>
        <v>450</v>
      </c>
      <c r="AZ92" s="59">
        <v>10</v>
      </c>
      <c r="BA92" s="59">
        <f t="shared" si="30"/>
        <v>2050</v>
      </c>
      <c r="BB92" s="53">
        <v>20000</v>
      </c>
      <c r="BC92" s="53">
        <f t="shared" si="10"/>
        <v>44.444444444444443</v>
      </c>
      <c r="BD92" s="52">
        <f t="shared" si="20"/>
        <v>26.571199848858811</v>
      </c>
      <c r="BE92" s="88" t="s">
        <v>56</v>
      </c>
      <c r="BF92" s="91">
        <v>6</v>
      </c>
      <c r="BG92" s="76">
        <v>46318</v>
      </c>
    </row>
    <row r="93" spans="9:59" x14ac:dyDescent="0.2">
      <c r="I93" s="73">
        <v>46319</v>
      </c>
      <c r="J93" s="42">
        <v>39</v>
      </c>
      <c r="K93" s="83"/>
      <c r="L93" s="42">
        <f t="shared" si="22"/>
        <v>3527.4778668046206</v>
      </c>
      <c r="M93" s="35">
        <f t="shared" si="0"/>
        <v>26.571199848858811</v>
      </c>
      <c r="N93" s="36">
        <f t="shared" si="23"/>
        <v>2402.3546402200523</v>
      </c>
      <c r="O93" s="8">
        <f t="shared" si="68"/>
        <v>0</v>
      </c>
      <c r="P93" s="56">
        <f t="shared" si="43"/>
        <v>0</v>
      </c>
      <c r="Q93" s="60" t="str">
        <f t="shared" si="44"/>
        <v/>
      </c>
      <c r="R93" s="60" t="str">
        <f t="shared" si="45"/>
        <v/>
      </c>
      <c r="S93" s="60" t="str">
        <f t="shared" si="51"/>
        <v/>
      </c>
      <c r="T93" s="60" t="str">
        <f t="shared" si="52"/>
        <v/>
      </c>
      <c r="U93" s="39">
        <f t="shared" si="40"/>
        <v>2402.3546402200523</v>
      </c>
      <c r="V93" s="40">
        <f t="shared" si="25"/>
        <v>1217.7054018027554</v>
      </c>
      <c r="W93" s="40">
        <f t="shared" si="3"/>
        <v>90.411974389001088</v>
      </c>
      <c r="X93" s="40">
        <f t="shared" si="41"/>
        <v>114.27378542958604</v>
      </c>
      <c r="Y93" s="40">
        <f>(X93*$D$42)-X93</f>
        <v>45.7095141718344</v>
      </c>
      <c r="Z93" s="42">
        <f t="shared" si="5"/>
        <v>2471.9259654324719</v>
      </c>
      <c r="AA93" s="42">
        <f t="shared" si="26"/>
        <v>69.571325212419652</v>
      </c>
      <c r="AB93" s="40">
        <f t="shared" si="6"/>
        <v>1193.8435907621704</v>
      </c>
      <c r="AC93" s="42">
        <f t="shared" si="7"/>
        <v>-23.861811040585053</v>
      </c>
      <c r="AD93" s="43">
        <f t="shared" si="13"/>
        <v>94.341001634377122</v>
      </c>
      <c r="AE93" s="42">
        <f t="shared" si="8"/>
        <v>3571.4285545602647</v>
      </c>
      <c r="AF93" s="43"/>
      <c r="AG93" s="44" t="e">
        <f t="shared" si="49"/>
        <v>#N/A</v>
      </c>
      <c r="AH93" s="45"/>
      <c r="AI93" s="46" t="str">
        <f t="shared" si="62"/>
        <v/>
      </c>
      <c r="AJ93" s="47">
        <f t="shared" si="14"/>
        <v>1.2602914276969282E-2</v>
      </c>
      <c r="AK93" s="34"/>
      <c r="AL93" s="22">
        <v>51</v>
      </c>
      <c r="AM93" s="8"/>
      <c r="AN93" s="8"/>
      <c r="AO93" s="8"/>
      <c r="AP93" s="8">
        <f>$M$5</f>
        <v>0</v>
      </c>
      <c r="AQ93" s="8"/>
      <c r="AR93" s="77" t="e">
        <f t="shared" si="42"/>
        <v>#N/A</v>
      </c>
      <c r="AS93" s="49">
        <v>5</v>
      </c>
      <c r="AT93" s="50">
        <f t="shared" si="15"/>
        <v>22500</v>
      </c>
      <c r="AU93" s="49">
        <v>20</v>
      </c>
      <c r="AV93" s="49">
        <f t="shared" si="16"/>
        <v>36000</v>
      </c>
      <c r="AW93" s="51">
        <f t="shared" si="17"/>
        <v>8.3500181462286776</v>
      </c>
      <c r="AX93" s="52">
        <v>0.1</v>
      </c>
      <c r="AY93" s="53">
        <f t="shared" si="18"/>
        <v>450</v>
      </c>
      <c r="AZ93" s="59">
        <v>10</v>
      </c>
      <c r="BA93" s="59">
        <f t="shared" si="30"/>
        <v>2055</v>
      </c>
      <c r="BB93" s="53">
        <v>20000</v>
      </c>
      <c r="BC93" s="53">
        <f t="shared" ref="BC93:BC94" si="72">IF(AY93=0,NA(),BB93/AY93)</f>
        <v>44.444444444444443</v>
      </c>
      <c r="BD93" s="52">
        <f t="shared" si="20"/>
        <v>26.571199848858811</v>
      </c>
      <c r="BE93" s="88" t="s">
        <v>56</v>
      </c>
      <c r="BF93" s="91">
        <v>7</v>
      </c>
      <c r="BG93" s="76">
        <v>46319</v>
      </c>
    </row>
    <row r="94" spans="9:59" x14ac:dyDescent="0.2">
      <c r="I94" s="73">
        <v>46320</v>
      </c>
      <c r="J94" s="42">
        <v>40</v>
      </c>
      <c r="K94" s="83"/>
      <c r="L94" s="42">
        <f t="shared" si="22"/>
        <v>3571.4285545602647</v>
      </c>
      <c r="M94" s="35">
        <f t="shared" si="0"/>
        <v>26.571199848858811</v>
      </c>
      <c r="N94" s="36">
        <f t="shared" si="23"/>
        <v>2471.9259654324719</v>
      </c>
      <c r="O94" s="8">
        <f t="shared" si="68"/>
        <v>0</v>
      </c>
      <c r="P94" s="56">
        <f t="shared" si="43"/>
        <v>0</v>
      </c>
      <c r="Q94" s="60" t="str">
        <f t="shared" si="44"/>
        <v/>
      </c>
      <c r="R94" s="60" t="str">
        <f t="shared" si="45"/>
        <v/>
      </c>
      <c r="S94" s="60" t="str">
        <f t="shared" si="51"/>
        <v/>
      </c>
      <c r="T94" s="60" t="str">
        <f t="shared" si="52"/>
        <v/>
      </c>
      <c r="U94" s="39">
        <f t="shared" si="40"/>
        <v>2471.9259654324719</v>
      </c>
      <c r="V94" s="40">
        <f t="shared" si="25"/>
        <v>1193.8435907621704</v>
      </c>
      <c r="W94" s="40">
        <f t="shared" si="3"/>
        <v>93.030272606926971</v>
      </c>
      <c r="X94" s="40">
        <f t="shared" si="41"/>
        <v>113.89224356624091</v>
      </c>
      <c r="Y94" s="40">
        <f>(X94*$D$42)-X94</f>
        <v>45.556897426496349</v>
      </c>
      <c r="Z94" s="42">
        <f t="shared" si="5"/>
        <v>2538.344833818282</v>
      </c>
      <c r="AA94" s="42">
        <f t="shared" si="26"/>
        <v>66.418868385810129</v>
      </c>
      <c r="AB94" s="40">
        <f t="shared" si="6"/>
        <v>1172.9816198028564</v>
      </c>
      <c r="AC94" s="42">
        <f t="shared" si="7"/>
        <v>-20.861970959314021</v>
      </c>
      <c r="AD94" s="43">
        <f t="shared" si="13"/>
        <v>95.965822205684077</v>
      </c>
      <c r="AE94" s="42">
        <f t="shared" si="8"/>
        <v>3615.360631415454</v>
      </c>
      <c r="AF94" s="43">
        <f t="shared" ref="AF94" si="73">AD94</f>
        <v>95.965822205684077</v>
      </c>
      <c r="AG94" s="44" t="e">
        <f t="shared" si="49"/>
        <v>#N/A</v>
      </c>
      <c r="AH94" s="45"/>
      <c r="AI94" s="46" t="str">
        <f t="shared" si="62"/>
        <v/>
      </c>
      <c r="AJ94" s="47">
        <f t="shared" si="14"/>
        <v>1.2459521906357711E-2</v>
      </c>
      <c r="AK94" s="61"/>
      <c r="AL94" s="22">
        <v>52</v>
      </c>
      <c r="AM94" s="8"/>
      <c r="AN94" s="8">
        <f>$M$5</f>
        <v>0</v>
      </c>
      <c r="AO94" s="8"/>
      <c r="AP94" s="8"/>
      <c r="AQ94" s="8"/>
      <c r="AR94" s="77" t="e">
        <f t="shared" si="42"/>
        <v>#N/A</v>
      </c>
      <c r="AS94" s="49">
        <v>5</v>
      </c>
      <c r="AT94" s="50">
        <f t="shared" si="15"/>
        <v>22500</v>
      </c>
      <c r="AU94" s="49">
        <v>20</v>
      </c>
      <c r="AV94" s="49">
        <f t="shared" si="16"/>
        <v>36000</v>
      </c>
      <c r="AW94" s="51">
        <f t="shared" si="17"/>
        <v>8.3500181462286776</v>
      </c>
      <c r="AX94" s="52">
        <v>0.1</v>
      </c>
      <c r="AY94" s="53">
        <f t="shared" si="18"/>
        <v>450</v>
      </c>
      <c r="AZ94" s="59">
        <v>10</v>
      </c>
      <c r="BA94" s="59">
        <f t="shared" si="30"/>
        <v>2060</v>
      </c>
      <c r="BB94" s="53">
        <v>20000</v>
      </c>
      <c r="BC94" s="53">
        <f t="shared" si="72"/>
        <v>44.444444444444443</v>
      </c>
      <c r="BD94" s="52">
        <f t="shared" si="20"/>
        <v>26.571199848858811</v>
      </c>
      <c r="BE94" s="88" t="s">
        <v>56</v>
      </c>
      <c r="BF94" s="91">
        <v>8</v>
      </c>
      <c r="BG94" s="76">
        <v>46320</v>
      </c>
    </row>
    <row r="95" spans="9:59" x14ac:dyDescent="0.2">
      <c r="I95" s="73">
        <v>46321</v>
      </c>
      <c r="J95" s="42">
        <v>41</v>
      </c>
      <c r="K95" s="83"/>
      <c r="L95" s="42">
        <f t="shared" si="22"/>
        <v>3615.360631415454</v>
      </c>
      <c r="M95" s="35">
        <f t="shared" si="0"/>
        <v>200</v>
      </c>
      <c r="N95" s="36">
        <f t="shared" si="23"/>
        <v>2538.344833818282</v>
      </c>
      <c r="O95" s="8">
        <f t="shared" si="68"/>
        <v>0</v>
      </c>
      <c r="P95" s="56">
        <f t="shared" si="43"/>
        <v>0</v>
      </c>
      <c r="Q95" s="60" t="str">
        <f t="shared" si="44"/>
        <v/>
      </c>
      <c r="R95" s="60" t="str">
        <f t="shared" si="45"/>
        <v/>
      </c>
      <c r="S95" s="60" t="str">
        <f t="shared" si="51"/>
        <v/>
      </c>
      <c r="T95" s="60" t="str">
        <f t="shared" si="52"/>
        <v/>
      </c>
      <c r="U95" s="39">
        <f t="shared" si="40"/>
        <v>2538.344833818282</v>
      </c>
      <c r="V95" s="40">
        <f t="shared" si="25"/>
        <v>1172.9816198028564</v>
      </c>
      <c r="W95" s="40">
        <f t="shared" si="3"/>
        <v>12.69172416909141</v>
      </c>
      <c r="X95" s="40">
        <f t="shared" si="41"/>
        <v>113.27579671466019</v>
      </c>
      <c r="Y95" s="40">
        <f>(X95*$D$42)-X95</f>
        <v>45.310318685864061</v>
      </c>
      <c r="Z95" s="42">
        <f t="shared" si="5"/>
        <v>2684.2392250497151</v>
      </c>
      <c r="AA95" s="42">
        <f t="shared" si="26"/>
        <v>145.89439123143302</v>
      </c>
      <c r="AB95" s="40">
        <f t="shared" si="6"/>
        <v>1072.3975472572877</v>
      </c>
      <c r="AC95" s="42">
        <f t="shared" si="7"/>
        <v>-100.58407254556869</v>
      </c>
      <c r="AD95" s="43">
        <f t="shared" si="13"/>
        <v>97.441359859855112</v>
      </c>
      <c r="AE95" s="42">
        <f t="shared" si="8"/>
        <v>3659.1954124471472</v>
      </c>
      <c r="AF95" s="43"/>
      <c r="AG95" s="44" t="e">
        <f t="shared" si="49"/>
        <v>#N/A</v>
      </c>
      <c r="AH95" s="45"/>
      <c r="AI95" s="46" t="str">
        <f t="shared" si="62"/>
        <v/>
      </c>
      <c r="AJ95" s="47">
        <f t="shared" si="14"/>
        <v>1.2300981577552083E-2</v>
      </c>
      <c r="AK95" s="61"/>
      <c r="AL95" s="22">
        <v>53</v>
      </c>
      <c r="AM95" s="8">
        <f>$M$5</f>
        <v>0</v>
      </c>
      <c r="AN95" s="8"/>
      <c r="AO95" s="79"/>
      <c r="AP95" s="8"/>
      <c r="AQ95" s="79"/>
      <c r="AR95" s="77" t="e">
        <f t="shared" si="42"/>
        <v>#N/A</v>
      </c>
      <c r="AS95" s="49">
        <v>5</v>
      </c>
      <c r="AT95" s="50">
        <f t="shared" si="15"/>
        <v>22500</v>
      </c>
      <c r="AU95" s="49">
        <v>20</v>
      </c>
      <c r="AV95" s="49">
        <f t="shared" si="16"/>
        <v>36000</v>
      </c>
      <c r="AW95" s="51">
        <f t="shared" si="17"/>
        <v>8.3500181462286776</v>
      </c>
      <c r="AX95" s="59">
        <v>0</v>
      </c>
      <c r="AY95" s="53">
        <f t="shared" si="18"/>
        <v>0</v>
      </c>
      <c r="AZ95" s="59">
        <v>10</v>
      </c>
      <c r="BA95" s="59">
        <f t="shared" si="30"/>
        <v>2065</v>
      </c>
      <c r="BB95" s="53">
        <v>20000</v>
      </c>
      <c r="BC95" s="53" t="e">
        <f>IF(AY95=0,NA(),BB95/AY95)</f>
        <v>#N/A</v>
      </c>
      <c r="BD95" s="52">
        <v>200</v>
      </c>
      <c r="BE95" s="88" t="s">
        <v>56</v>
      </c>
      <c r="BF95" s="91">
        <v>9</v>
      </c>
      <c r="BG95" s="76">
        <v>46321</v>
      </c>
    </row>
    <row r="96" spans="9:59" x14ac:dyDescent="0.2">
      <c r="I96" s="73">
        <v>46322</v>
      </c>
      <c r="J96" s="42">
        <v>42</v>
      </c>
      <c r="K96" s="83"/>
      <c r="L96" s="42">
        <f t="shared" si="22"/>
        <v>3659.1954124471472</v>
      </c>
      <c r="M96" s="35">
        <f t="shared" si="0"/>
        <v>200</v>
      </c>
      <c r="N96" s="36">
        <f t="shared" si="23"/>
        <v>2684.2392250497151</v>
      </c>
      <c r="O96" s="8">
        <f t="shared" si="68"/>
        <v>0</v>
      </c>
      <c r="P96" s="56">
        <f t="shared" si="43"/>
        <v>0</v>
      </c>
      <c r="Q96" s="60" t="str">
        <f t="shared" si="44"/>
        <v/>
      </c>
      <c r="R96" s="60" t="str">
        <f t="shared" si="45"/>
        <v/>
      </c>
      <c r="S96" s="60" t="str">
        <f t="shared" si="51"/>
        <v/>
      </c>
      <c r="T96" s="60" t="str">
        <f t="shared" si="52"/>
        <v/>
      </c>
      <c r="U96" s="39">
        <f t="shared" si="40"/>
        <v>2684.2392250497151</v>
      </c>
      <c r="V96" s="40">
        <f t="shared" si="25"/>
        <v>1072.3975472572877</v>
      </c>
      <c r="W96" s="40">
        <f t="shared" si="3"/>
        <v>13.421196125248576</v>
      </c>
      <c r="X96" s="40">
        <f t="shared" si="41"/>
        <v>112.37868605837888</v>
      </c>
      <c r="Y96" s="40">
        <f>(X96*$D$42)-X96</f>
        <v>44.951474423351542</v>
      </c>
      <c r="Z96" s="42">
        <f t="shared" si="5"/>
        <v>2828.1481894061967</v>
      </c>
      <c r="AA96" s="42">
        <f t="shared" si="26"/>
        <v>143.90896435648165</v>
      </c>
      <c r="AB96" s="40">
        <f t="shared" si="6"/>
        <v>973.44005732415735</v>
      </c>
      <c r="AC96" s="42">
        <f t="shared" si="7"/>
        <v>-98.957489933130319</v>
      </c>
      <c r="AD96" s="43">
        <f t="shared" si="13"/>
        <v>100.81958644375655</v>
      </c>
      <c r="AE96" s="42">
        <f t="shared" si="8"/>
        <v>3700.7686602865974</v>
      </c>
      <c r="AF96" s="43">
        <f t="shared" ref="AF96" si="74">AD96</f>
        <v>100.81958644375655</v>
      </c>
      <c r="AG96" s="44" t="e">
        <f t="shared" si="49"/>
        <v>#N/A</v>
      </c>
      <c r="AH96" s="45"/>
      <c r="AI96" s="46" t="str">
        <f t="shared" si="62"/>
        <v/>
      </c>
      <c r="AJ96" s="47">
        <f t="shared" si="14"/>
        <v>1.2124594335290799E-2</v>
      </c>
      <c r="AK96" s="34">
        <f>L96</f>
        <v>3659.1954124471472</v>
      </c>
      <c r="AL96" s="22">
        <v>54</v>
      </c>
      <c r="AM96" s="8"/>
      <c r="AN96" s="8"/>
      <c r="AO96" s="8"/>
      <c r="AP96" s="8"/>
      <c r="AQ96" s="79"/>
      <c r="AR96" s="77" t="e">
        <f t="shared" si="42"/>
        <v>#N/A</v>
      </c>
      <c r="AS96" s="49">
        <v>5</v>
      </c>
      <c r="AT96" s="50">
        <f t="shared" si="15"/>
        <v>22500</v>
      </c>
      <c r="AU96" s="49">
        <v>20</v>
      </c>
      <c r="AV96" s="49">
        <f t="shared" si="16"/>
        <v>36000</v>
      </c>
      <c r="AW96" s="51">
        <f t="shared" si="17"/>
        <v>8.3500181462286776</v>
      </c>
      <c r="AX96" s="59">
        <v>0</v>
      </c>
      <c r="AY96" s="53">
        <f t="shared" si="18"/>
        <v>0</v>
      </c>
      <c r="AZ96" s="59">
        <v>10</v>
      </c>
      <c r="BA96" s="59">
        <f t="shared" si="30"/>
        <v>2070</v>
      </c>
      <c r="BB96" s="53">
        <v>20000</v>
      </c>
      <c r="BC96" s="53" t="e">
        <f t="shared" ref="BC96:BC114" si="75">IF(AY96=0,NA(),BB96/AY96)</f>
        <v>#N/A</v>
      </c>
      <c r="BD96" s="52">
        <v>200</v>
      </c>
      <c r="BE96" s="88" t="s">
        <v>56</v>
      </c>
      <c r="BF96" s="91">
        <v>10</v>
      </c>
      <c r="BG96" s="76">
        <v>46322</v>
      </c>
    </row>
    <row r="97" spans="9:59" x14ac:dyDescent="0.2">
      <c r="I97" s="73">
        <v>46323</v>
      </c>
      <c r="J97" s="42">
        <v>43</v>
      </c>
      <c r="K97" s="83"/>
      <c r="L97" s="42">
        <f t="shared" si="22"/>
        <v>3700.7686602865974</v>
      </c>
      <c r="M97" s="35">
        <f t="shared" si="0"/>
        <v>200</v>
      </c>
      <c r="N97" s="36">
        <f t="shared" si="23"/>
        <v>2828.1481894061967</v>
      </c>
      <c r="O97" s="8">
        <f t="shared" si="68"/>
        <v>0</v>
      </c>
      <c r="P97" s="56">
        <f t="shared" si="43"/>
        <v>0</v>
      </c>
      <c r="Q97" s="60" t="str">
        <f t="shared" si="44"/>
        <v/>
      </c>
      <c r="R97" s="60" t="str">
        <f t="shared" si="45"/>
        <v/>
      </c>
      <c r="S97" s="60" t="str">
        <f t="shared" si="51"/>
        <v/>
      </c>
      <c r="T97" s="60" t="str">
        <f t="shared" si="52"/>
        <v/>
      </c>
      <c r="U97" s="39">
        <f t="shared" si="40"/>
        <v>2828.1481894061967</v>
      </c>
      <c r="V97" s="40">
        <f t="shared" si="25"/>
        <v>973.44005732415735</v>
      </c>
      <c r="W97" s="40">
        <f t="shared" si="3"/>
        <v>14.140740947030984</v>
      </c>
      <c r="X97" s="40">
        <f t="shared" si="41"/>
        <v>111.14082217498211</v>
      </c>
      <c r="Y97" s="40">
        <f>(X97*$D$42)-X97</f>
        <v>44.456328869992831</v>
      </c>
      <c r="Z97" s="42">
        <f t="shared" si="5"/>
        <v>2969.6045995041404</v>
      </c>
      <c r="AA97" s="42">
        <f t="shared" si="26"/>
        <v>141.45641009794372</v>
      </c>
      <c r="AB97" s="40">
        <f t="shared" si="6"/>
        <v>876.43997609620624</v>
      </c>
      <c r="AC97" s="42">
        <f t="shared" si="7"/>
        <v>-97.000081227951114</v>
      </c>
      <c r="AD97" s="43">
        <f t="shared" si="13"/>
        <v>104.04595138764955</v>
      </c>
      <c r="AE97" s="42">
        <f t="shared" si="8"/>
        <v>3741.998624212697</v>
      </c>
      <c r="AF97" s="43"/>
      <c r="AG97" s="44" t="e">
        <f t="shared" si="49"/>
        <v>#N/A</v>
      </c>
      <c r="AH97" s="45"/>
      <c r="AI97" s="46" t="str">
        <f t="shared" si="62"/>
        <v/>
      </c>
      <c r="AJ97" s="47">
        <f t="shared" si="14"/>
        <v>1.1361308471811687E-2</v>
      </c>
      <c r="AK97" s="61"/>
      <c r="AL97" s="22">
        <v>55</v>
      </c>
      <c r="AM97" s="8"/>
      <c r="AN97" s="8"/>
      <c r="AO97" s="8">
        <f>$M$5</f>
        <v>0</v>
      </c>
      <c r="AP97" s="8"/>
      <c r="AQ97" s="8">
        <f>$M$5</f>
        <v>0</v>
      </c>
      <c r="AR97" s="77" t="e">
        <f t="shared" si="42"/>
        <v>#N/A</v>
      </c>
      <c r="AS97" s="49">
        <v>5</v>
      </c>
      <c r="AT97" s="50">
        <f t="shared" si="15"/>
        <v>22500</v>
      </c>
      <c r="AU97" s="49">
        <v>20</v>
      </c>
      <c r="AV97" s="49">
        <f t="shared" si="16"/>
        <v>36000</v>
      </c>
      <c r="AW97" s="51">
        <f t="shared" si="17"/>
        <v>8.3500181462286776</v>
      </c>
      <c r="AX97" s="59">
        <v>0</v>
      </c>
      <c r="AY97" s="53">
        <f t="shared" si="18"/>
        <v>0</v>
      </c>
      <c r="AZ97" s="59">
        <v>10</v>
      </c>
      <c r="BA97" s="59">
        <f t="shared" si="30"/>
        <v>2075</v>
      </c>
      <c r="BB97" s="53">
        <v>20000</v>
      </c>
      <c r="BC97" s="53" t="e">
        <f t="shared" si="75"/>
        <v>#N/A</v>
      </c>
      <c r="BD97" s="52">
        <v>200</v>
      </c>
      <c r="BE97" s="88" t="s">
        <v>56</v>
      </c>
      <c r="BF97" s="91">
        <v>11</v>
      </c>
      <c r="BG97" s="76">
        <v>46323</v>
      </c>
    </row>
    <row r="98" spans="9:59" x14ac:dyDescent="0.2">
      <c r="I98" s="73">
        <v>46324</v>
      </c>
      <c r="J98" s="42">
        <v>44</v>
      </c>
      <c r="K98" s="83"/>
      <c r="L98" s="42">
        <f t="shared" si="22"/>
        <v>3741.998624212697</v>
      </c>
      <c r="M98" s="35">
        <f t="shared" si="0"/>
        <v>200</v>
      </c>
      <c r="N98" s="36">
        <f t="shared" si="23"/>
        <v>2969.6045995041404</v>
      </c>
      <c r="O98" s="8">
        <f t="shared" si="68"/>
        <v>0</v>
      </c>
      <c r="P98" s="56">
        <f t="shared" si="43"/>
        <v>0</v>
      </c>
      <c r="Q98" s="60" t="str">
        <f t="shared" si="44"/>
        <v/>
      </c>
      <c r="R98" s="60" t="str">
        <f t="shared" si="45"/>
        <v/>
      </c>
      <c r="S98" s="60" t="str">
        <f t="shared" si="51"/>
        <v/>
      </c>
      <c r="T98" s="60" t="str">
        <f t="shared" si="52"/>
        <v/>
      </c>
      <c r="U98" s="39">
        <f t="shared" si="40"/>
        <v>2969.6045995041404</v>
      </c>
      <c r="V98" s="40">
        <f t="shared" si="25"/>
        <v>876.43997609620624</v>
      </c>
      <c r="W98" s="40">
        <f t="shared" si="3"/>
        <v>14.848022997520703</v>
      </c>
      <c r="X98" s="40">
        <f t="shared" si="41"/>
        <v>109.47871557104804</v>
      </c>
      <c r="Y98" s="40">
        <f>(X98*$D$42)-X98</f>
        <v>43.791486228419217</v>
      </c>
      <c r="Z98" s="42">
        <f t="shared" si="5"/>
        <v>3108.0267783060867</v>
      </c>
      <c r="AA98" s="42">
        <f t="shared" si="26"/>
        <v>138.4221788019463</v>
      </c>
      <c r="AB98" s="40">
        <f t="shared" si="6"/>
        <v>781.80928352267892</v>
      </c>
      <c r="AC98" s="42">
        <f t="shared" si="7"/>
        <v>-94.630692573527313</v>
      </c>
      <c r="AD98" s="43">
        <f t="shared" si="13"/>
        <v>107.08372965891793</v>
      </c>
      <c r="AE98" s="42">
        <f t="shared" si="8"/>
        <v>3782.7523321698477</v>
      </c>
      <c r="AF98" s="43">
        <f t="shared" ref="AF98" si="76">AD98</f>
        <v>107.08372965891793</v>
      </c>
      <c r="AG98" s="44" t="e">
        <f t="shared" si="49"/>
        <v>#N/A</v>
      </c>
      <c r="AH98" s="45"/>
      <c r="AI98" s="46" t="str">
        <f t="shared" si="62"/>
        <v/>
      </c>
      <c r="AJ98" s="47">
        <f t="shared" si="14"/>
        <v>1.1140919011918625E-2</v>
      </c>
      <c r="AK98" s="61"/>
      <c r="AL98" s="22">
        <v>56</v>
      </c>
      <c r="AM98" s="8"/>
      <c r="AN98" s="8"/>
      <c r="AO98" s="8"/>
      <c r="AP98" s="79"/>
      <c r="AQ98" s="8"/>
      <c r="AR98" s="77" t="e">
        <f t="shared" si="42"/>
        <v>#N/A</v>
      </c>
      <c r="AS98" s="49">
        <v>5</v>
      </c>
      <c r="AT98" s="50">
        <f t="shared" si="15"/>
        <v>22500</v>
      </c>
      <c r="AU98" s="49">
        <v>20</v>
      </c>
      <c r="AV98" s="49">
        <f t="shared" si="16"/>
        <v>36000</v>
      </c>
      <c r="AW98" s="51">
        <f t="shared" si="17"/>
        <v>8.3500181462286776</v>
      </c>
      <c r="AX98" s="59">
        <v>0</v>
      </c>
      <c r="AY98" s="53">
        <f t="shared" si="18"/>
        <v>0</v>
      </c>
      <c r="AZ98" s="59">
        <v>10</v>
      </c>
      <c r="BA98" s="59">
        <f t="shared" si="30"/>
        <v>2080</v>
      </c>
      <c r="BB98" s="53">
        <v>20000</v>
      </c>
      <c r="BC98" s="53" t="e">
        <f t="shared" si="75"/>
        <v>#N/A</v>
      </c>
      <c r="BD98" s="52">
        <v>200</v>
      </c>
      <c r="BE98" s="88" t="s">
        <v>56</v>
      </c>
      <c r="BF98" s="91">
        <v>12</v>
      </c>
      <c r="BG98" s="76">
        <v>46324</v>
      </c>
    </row>
    <row r="99" spans="9:59" x14ac:dyDescent="0.2">
      <c r="I99" s="73">
        <v>46325</v>
      </c>
      <c r="J99" s="42">
        <v>45</v>
      </c>
      <c r="K99" s="83"/>
      <c r="L99" s="42">
        <f t="shared" si="22"/>
        <v>3782.7523321698477</v>
      </c>
      <c r="M99" s="35">
        <f t="shared" si="0"/>
        <v>200</v>
      </c>
      <c r="N99" s="36">
        <f t="shared" si="23"/>
        <v>3108.0267783060867</v>
      </c>
      <c r="O99" s="8">
        <f t="shared" si="68"/>
        <v>0</v>
      </c>
      <c r="P99" s="56">
        <f t="shared" si="43"/>
        <v>0</v>
      </c>
      <c r="Q99" s="60" t="str">
        <f t="shared" si="44"/>
        <v/>
      </c>
      <c r="R99" s="60" t="str">
        <f t="shared" si="45"/>
        <v/>
      </c>
      <c r="S99" s="60" t="str">
        <f t="shared" si="51"/>
        <v/>
      </c>
      <c r="T99" s="60" t="str">
        <f t="shared" si="52"/>
        <v/>
      </c>
      <c r="U99" s="39">
        <f t="shared" si="40"/>
        <v>3108.0267783060867</v>
      </c>
      <c r="V99" s="40">
        <f t="shared" si="25"/>
        <v>781.80928352267892</v>
      </c>
      <c r="W99" s="40">
        <f t="shared" si="3"/>
        <v>15.540133891530434</v>
      </c>
      <c r="X99" s="40">
        <f t="shared" si="41"/>
        <v>107.2694689510317</v>
      </c>
      <c r="Y99" s="40">
        <f>(X99*$D$42)-X99</f>
        <v>42.907787580412659</v>
      </c>
      <c r="Z99" s="42">
        <f t="shared" si="5"/>
        <v>3242.6639009460009</v>
      </c>
      <c r="AA99" s="42">
        <f t="shared" si="26"/>
        <v>134.6371226399142</v>
      </c>
      <c r="AB99" s="40">
        <f t="shared" ref="AB99:AB114" si="77">IF(AB98&lt;2,0,V99-X99+W99)</f>
        <v>690.07994846317763</v>
      </c>
      <c r="AC99" s="42">
        <f t="shared" si="7"/>
        <v>-91.729335059501295</v>
      </c>
      <c r="AD99" s="43">
        <f t="shared" si="13"/>
        <v>109.88151014296169</v>
      </c>
      <c r="AE99" s="42">
        <f t="shared" si="8"/>
        <v>3822.8623392662166</v>
      </c>
      <c r="AF99" s="43"/>
      <c r="AG99" s="44" t="e">
        <f t="shared" si="49"/>
        <v>#N/A</v>
      </c>
      <c r="AH99" s="45"/>
      <c r="AI99" s="46" t="str">
        <f t="shared" si="62"/>
        <v/>
      </c>
      <c r="AJ99" s="47">
        <f t="shared" si="14"/>
        <v>1.0890893356681856E-2</v>
      </c>
      <c r="AK99" s="34"/>
      <c r="AL99" s="22">
        <v>57</v>
      </c>
      <c r="AM99" s="8">
        <f>$M$5</f>
        <v>0</v>
      </c>
      <c r="AN99" s="8">
        <f>$M$5</f>
        <v>0</v>
      </c>
      <c r="AO99" s="8"/>
      <c r="AP99" s="8"/>
      <c r="AQ99" s="8"/>
      <c r="AR99" s="77" t="e">
        <f t="shared" si="42"/>
        <v>#N/A</v>
      </c>
      <c r="AS99" s="49">
        <v>5</v>
      </c>
      <c r="AT99" s="50">
        <f t="shared" si="15"/>
        <v>22500</v>
      </c>
      <c r="AU99" s="49">
        <v>20</v>
      </c>
      <c r="AV99" s="49">
        <f t="shared" si="16"/>
        <v>36000</v>
      </c>
      <c r="AW99" s="51">
        <f t="shared" si="17"/>
        <v>8.3500181462286776</v>
      </c>
      <c r="AX99" s="59">
        <v>0</v>
      </c>
      <c r="AY99" s="53">
        <f t="shared" si="18"/>
        <v>0</v>
      </c>
      <c r="AZ99" s="59">
        <v>10</v>
      </c>
      <c r="BA99" s="59">
        <f t="shared" si="30"/>
        <v>2085</v>
      </c>
      <c r="BB99" s="53">
        <v>20000</v>
      </c>
      <c r="BC99" s="53" t="e">
        <f t="shared" si="75"/>
        <v>#N/A</v>
      </c>
      <c r="BD99" s="52">
        <v>200</v>
      </c>
      <c r="BE99" s="88" t="s">
        <v>56</v>
      </c>
      <c r="BF99" s="91">
        <v>13</v>
      </c>
      <c r="BG99" s="76">
        <v>46325</v>
      </c>
    </row>
    <row r="100" spans="9:59" x14ac:dyDescent="0.2">
      <c r="I100" s="73">
        <v>46326</v>
      </c>
      <c r="J100" s="42">
        <v>46</v>
      </c>
      <c r="K100" s="83"/>
      <c r="L100" s="42">
        <f t="shared" si="22"/>
        <v>3822.8623392662166</v>
      </c>
      <c r="M100" s="35">
        <f t="shared" si="0"/>
        <v>200</v>
      </c>
      <c r="N100" s="36">
        <f t="shared" si="23"/>
        <v>3242.6639009460009</v>
      </c>
      <c r="O100" s="8">
        <f t="shared" si="68"/>
        <v>0</v>
      </c>
      <c r="P100" s="56">
        <f t="shared" si="43"/>
        <v>0</v>
      </c>
      <c r="Q100" s="60" t="str">
        <f t="shared" si="44"/>
        <v/>
      </c>
      <c r="R100" s="60" t="str">
        <f t="shared" si="45"/>
        <v/>
      </c>
      <c r="S100" s="60" t="str">
        <f t="shared" si="51"/>
        <v/>
      </c>
      <c r="T100" s="60" t="str">
        <f t="shared" si="52"/>
        <v/>
      </c>
      <c r="U100" s="39">
        <f t="shared" si="40"/>
        <v>3242.6639009460009</v>
      </c>
      <c r="V100" s="40">
        <f t="shared" si="25"/>
        <v>690.07994846317763</v>
      </c>
      <c r="W100" s="40">
        <f t="shared" si="3"/>
        <v>16.213319504730006</v>
      </c>
      <c r="X100" s="40">
        <f t="shared" si="41"/>
        <v>104.31886909248277</v>
      </c>
      <c r="Y100" s="40">
        <f>(X100*$D$42)-X100</f>
        <v>41.727547636993108</v>
      </c>
      <c r="Z100" s="42">
        <f t="shared" si="5"/>
        <v>3372.4969981707468</v>
      </c>
      <c r="AA100" s="42">
        <f t="shared" si="26"/>
        <v>129.83309722474587</v>
      </c>
      <c r="AB100" s="40">
        <f t="shared" si="77"/>
        <v>601.97439887542487</v>
      </c>
      <c r="AC100" s="42">
        <f t="shared" si="7"/>
        <v>-88.105549587752762</v>
      </c>
      <c r="AD100" s="43">
        <f t="shared" si="13"/>
        <v>112.36225825139486</v>
      </c>
      <c r="AE100" s="42">
        <f t="shared" si="8"/>
        <v>3862.1091387947768</v>
      </c>
      <c r="AF100" s="43">
        <f t="shared" ref="AF100" si="78">AD100</f>
        <v>112.36225825139486</v>
      </c>
      <c r="AG100" s="44" t="e">
        <f t="shared" si="49"/>
        <v>#N/A</v>
      </c>
      <c r="AH100" s="45"/>
      <c r="AI100" s="46" t="str">
        <f t="shared" si="62"/>
        <v/>
      </c>
      <c r="AJ100" s="47">
        <f t="shared" si="14"/>
        <v>1.0603392338234624E-2</v>
      </c>
      <c r="AK100" s="61"/>
      <c r="AL100" s="22">
        <v>57</v>
      </c>
      <c r="AM100" s="8"/>
      <c r="AN100" s="8"/>
      <c r="AO100" s="8"/>
      <c r="AP100" s="79"/>
      <c r="AQ100" s="8"/>
      <c r="AR100" s="77" t="e">
        <f t="shared" si="42"/>
        <v>#N/A</v>
      </c>
      <c r="AS100" s="49">
        <v>5</v>
      </c>
      <c r="AT100" s="50">
        <f t="shared" si="15"/>
        <v>22500</v>
      </c>
      <c r="AU100" s="49">
        <v>20</v>
      </c>
      <c r="AV100" s="49">
        <f t="shared" si="16"/>
        <v>36000</v>
      </c>
      <c r="AW100" s="51">
        <f t="shared" si="17"/>
        <v>8.3500181462286776</v>
      </c>
      <c r="AX100" s="59">
        <v>0</v>
      </c>
      <c r="AY100" s="53">
        <f t="shared" si="18"/>
        <v>0</v>
      </c>
      <c r="AZ100" s="59">
        <v>11</v>
      </c>
      <c r="BA100" s="59">
        <f t="shared" si="30"/>
        <v>2090</v>
      </c>
      <c r="BB100" s="53">
        <v>20000</v>
      </c>
      <c r="BC100" s="53" t="e">
        <f t="shared" si="75"/>
        <v>#N/A</v>
      </c>
      <c r="BD100" s="52">
        <v>200</v>
      </c>
      <c r="BE100" s="88" t="s">
        <v>56</v>
      </c>
      <c r="BF100" s="91">
        <v>14</v>
      </c>
      <c r="BG100" s="76">
        <v>46326</v>
      </c>
    </row>
    <row r="101" spans="9:59" x14ac:dyDescent="0.2">
      <c r="I101" s="73">
        <v>46327</v>
      </c>
      <c r="J101" s="42">
        <v>47</v>
      </c>
      <c r="K101" s="83"/>
      <c r="L101" s="42">
        <f t="shared" si="22"/>
        <v>3862.1091387947768</v>
      </c>
      <c r="M101" s="35">
        <f t="shared" si="0"/>
        <v>200</v>
      </c>
      <c r="N101" s="36">
        <f t="shared" si="23"/>
        <v>3372.4969981707468</v>
      </c>
      <c r="O101" s="8">
        <f t="shared" si="68"/>
        <v>0</v>
      </c>
      <c r="P101" s="56">
        <f t="shared" si="43"/>
        <v>0</v>
      </c>
      <c r="Q101" s="60" t="str">
        <f t="shared" si="44"/>
        <v/>
      </c>
      <c r="R101" s="60" t="str">
        <f t="shared" si="45"/>
        <v/>
      </c>
      <c r="S101" s="60" t="str">
        <f t="shared" si="51"/>
        <v/>
      </c>
      <c r="T101" s="60" t="str">
        <f t="shared" si="52"/>
        <v/>
      </c>
      <c r="U101" s="39">
        <f t="shared" si="40"/>
        <v>3372.4969981707468</v>
      </c>
      <c r="V101" s="40">
        <f t="shared" si="25"/>
        <v>601.97439887542487</v>
      </c>
      <c r="W101" s="40">
        <f t="shared" si="3"/>
        <v>16.862484990853734</v>
      </c>
      <c r="X101" s="40">
        <f t="shared" si="41"/>
        <v>100.28766967767125</v>
      </c>
      <c r="Y101" s="40">
        <f>(X101*$D$42)-X101</f>
        <v>40.11506787106849</v>
      </c>
      <c r="Z101" s="42">
        <f t="shared" si="5"/>
        <v>3496.0372507286324</v>
      </c>
      <c r="AA101" s="42">
        <f t="shared" si="26"/>
        <v>123.54025255788565</v>
      </c>
      <c r="AB101" s="40">
        <f t="shared" si="77"/>
        <v>518.54921418860738</v>
      </c>
      <c r="AC101" s="42">
        <f t="shared" si="7"/>
        <v>-83.425184686817488</v>
      </c>
      <c r="AD101" s="43">
        <f t="shared" si="13"/>
        <v>114.39872585757006</v>
      </c>
      <c r="AE101" s="42">
        <f t="shared" si="8"/>
        <v>3900.1877390596701</v>
      </c>
      <c r="AF101" s="43"/>
      <c r="AG101" s="44" t="e">
        <f t="shared" si="49"/>
        <v>#N/A</v>
      </c>
      <c r="AH101" s="45"/>
      <c r="AI101" s="46" t="str">
        <f t="shared" si="62"/>
        <v/>
      </c>
      <c r="AJ101" s="47">
        <f t="shared" si="14"/>
        <v>1.0266338686967578E-2</v>
      </c>
      <c r="AK101" s="61"/>
      <c r="AL101" s="22">
        <v>57</v>
      </c>
      <c r="AM101" s="8"/>
      <c r="AN101" s="8"/>
      <c r="AO101" s="8"/>
      <c r="AP101" s="8"/>
      <c r="AQ101" s="79"/>
      <c r="AR101" s="77" t="e">
        <f t="shared" si="42"/>
        <v>#N/A</v>
      </c>
      <c r="AS101" s="49">
        <v>5</v>
      </c>
      <c r="AT101" s="50">
        <f t="shared" si="15"/>
        <v>22500</v>
      </c>
      <c r="AU101" s="49">
        <v>20</v>
      </c>
      <c r="AV101" s="49">
        <f t="shared" si="16"/>
        <v>36000</v>
      </c>
      <c r="AW101" s="51">
        <f t="shared" si="17"/>
        <v>8.3500181462286776</v>
      </c>
      <c r="AX101" s="59">
        <v>0</v>
      </c>
      <c r="AY101" s="53">
        <f t="shared" si="18"/>
        <v>0</v>
      </c>
      <c r="AZ101" s="59">
        <v>12</v>
      </c>
      <c r="BA101" s="59">
        <f t="shared" si="30"/>
        <v>2095</v>
      </c>
      <c r="BB101" s="53">
        <v>20000</v>
      </c>
      <c r="BC101" s="53" t="e">
        <f t="shared" si="75"/>
        <v>#N/A</v>
      </c>
      <c r="BD101" s="52">
        <v>200</v>
      </c>
      <c r="BE101" s="88" t="s">
        <v>56</v>
      </c>
      <c r="BF101" s="91">
        <v>15</v>
      </c>
      <c r="BG101" s="76">
        <v>46327</v>
      </c>
    </row>
    <row r="102" spans="9:59" x14ac:dyDescent="0.2">
      <c r="I102" s="73">
        <v>46328</v>
      </c>
      <c r="J102" s="42">
        <v>48</v>
      </c>
      <c r="K102" s="83"/>
      <c r="L102" s="42">
        <f t="shared" si="22"/>
        <v>3900.1877390596701</v>
      </c>
      <c r="M102" s="35">
        <f t="shared" si="0"/>
        <v>200</v>
      </c>
      <c r="N102" s="36">
        <f t="shared" si="23"/>
        <v>3496.0372507286324</v>
      </c>
      <c r="O102" s="8">
        <f t="shared" si="68"/>
        <v>0</v>
      </c>
      <c r="P102" s="56">
        <f t="shared" si="43"/>
        <v>0</v>
      </c>
      <c r="Q102" s="60" t="str">
        <f t="shared" si="44"/>
        <v/>
      </c>
      <c r="R102" s="60" t="str">
        <f t="shared" si="45"/>
        <v/>
      </c>
      <c r="S102" s="60" t="str">
        <f t="shared" si="51"/>
        <v/>
      </c>
      <c r="T102" s="60" t="str">
        <f t="shared" si="52"/>
        <v/>
      </c>
      <c r="U102" s="39">
        <f t="shared" si="40"/>
        <v>3496.0372507286324</v>
      </c>
      <c r="V102" s="40">
        <f t="shared" si="25"/>
        <v>518.54921418860738</v>
      </c>
      <c r="W102" s="40">
        <f t="shared" si="3"/>
        <v>17.480186253643161</v>
      </c>
      <c r="X102" s="40">
        <f t="shared" si="41"/>
        <v>94.316854390998586</v>
      </c>
      <c r="Y102" s="40">
        <f>(X102*$D$42)-X102</f>
        <v>37.72674175639942</v>
      </c>
      <c r="Z102" s="42">
        <f t="shared" si="5"/>
        <v>3610.6006606223873</v>
      </c>
      <c r="AA102" s="42">
        <f t="shared" si="26"/>
        <v>114.56340989375485</v>
      </c>
      <c r="AB102" s="40">
        <f t="shared" si="77"/>
        <v>441.71254605125199</v>
      </c>
      <c r="AC102" s="42">
        <f t="shared" si="7"/>
        <v>-76.836668137355389</v>
      </c>
      <c r="AD102" s="43">
        <f t="shared" si="13"/>
        <v>115.69598758551538</v>
      </c>
      <c r="AE102" s="42">
        <f t="shared" si="8"/>
        <v>3936.6172190881239</v>
      </c>
      <c r="AF102" s="43">
        <f t="shared" ref="AF102" si="79">AD102</f>
        <v>115.69598758551538</v>
      </c>
      <c r="AG102" s="44" t="e">
        <f t="shared" si="49"/>
        <v>#N/A</v>
      </c>
      <c r="AH102" s="45"/>
      <c r="AI102" s="46" t="str">
        <f t="shared" si="62"/>
        <v/>
      </c>
      <c r="AJ102" s="47">
        <f t="shared" si="14"/>
        <v>9.8595350096129797E-3</v>
      </c>
      <c r="AK102" s="34">
        <f>L102</f>
        <v>3900.1877390596701</v>
      </c>
      <c r="AL102" s="22">
        <v>57</v>
      </c>
      <c r="AM102" s="8"/>
      <c r="AN102" s="8"/>
      <c r="AO102" s="79"/>
      <c r="AP102" s="8"/>
      <c r="AQ102" s="8"/>
      <c r="AR102" s="77" t="e">
        <f t="shared" si="42"/>
        <v>#N/A</v>
      </c>
      <c r="AS102" s="49">
        <v>5</v>
      </c>
      <c r="AT102" s="50">
        <f t="shared" si="15"/>
        <v>22500</v>
      </c>
      <c r="AU102" s="49">
        <v>20</v>
      </c>
      <c r="AV102" s="49">
        <f t="shared" si="16"/>
        <v>36000</v>
      </c>
      <c r="AW102" s="51">
        <f t="shared" si="17"/>
        <v>8.3500181462286776</v>
      </c>
      <c r="AX102" s="59">
        <v>0</v>
      </c>
      <c r="AY102" s="53">
        <f t="shared" si="18"/>
        <v>0</v>
      </c>
      <c r="AZ102" s="59">
        <v>13</v>
      </c>
      <c r="BA102" s="59">
        <f t="shared" si="30"/>
        <v>2100</v>
      </c>
      <c r="BB102" s="53">
        <v>20000</v>
      </c>
      <c r="BC102" s="53" t="e">
        <f t="shared" si="75"/>
        <v>#N/A</v>
      </c>
      <c r="BD102" s="52">
        <v>200</v>
      </c>
      <c r="BE102" s="88" t="s">
        <v>56</v>
      </c>
      <c r="BF102" s="91">
        <v>16</v>
      </c>
      <c r="BG102" s="76">
        <v>46328</v>
      </c>
    </row>
    <row r="103" spans="9:59" x14ac:dyDescent="0.2">
      <c r="I103" s="73">
        <v>46329</v>
      </c>
      <c r="J103" s="42">
        <v>49</v>
      </c>
      <c r="K103" s="83"/>
      <c r="L103" s="42">
        <f t="shared" si="22"/>
        <v>3936.6172190881239</v>
      </c>
      <c r="M103" s="35">
        <f t="shared" si="0"/>
        <v>200</v>
      </c>
      <c r="N103" s="36">
        <f t="shared" si="23"/>
        <v>3610.6006606223873</v>
      </c>
      <c r="O103" s="8">
        <f t="shared" si="68"/>
        <v>0</v>
      </c>
      <c r="P103" s="56">
        <f t="shared" si="43"/>
        <v>0</v>
      </c>
      <c r="Q103" s="60" t="str">
        <f t="shared" si="44"/>
        <v/>
      </c>
      <c r="R103" s="60" t="str">
        <f t="shared" si="45"/>
        <v/>
      </c>
      <c r="S103" s="60" t="str">
        <f t="shared" si="51"/>
        <v/>
      </c>
      <c r="T103" s="60" t="str">
        <f t="shared" si="52"/>
        <v/>
      </c>
      <c r="U103" s="39">
        <f t="shared" si="40"/>
        <v>3610.6006606223873</v>
      </c>
      <c r="V103" s="40">
        <f t="shared" si="25"/>
        <v>441.71254605125199</v>
      </c>
      <c r="W103" s="40">
        <f t="shared" si="3"/>
        <v>18.053003303111936</v>
      </c>
      <c r="X103" s="40">
        <f t="shared" si="41"/>
        <v>84.842619016488555</v>
      </c>
      <c r="Y103" s="40">
        <f>(X103*$D$42)-X103</f>
        <v>33.937047606595414</v>
      </c>
      <c r="Z103" s="42">
        <f t="shared" si="5"/>
        <v>3711.3273239423597</v>
      </c>
      <c r="AA103" s="42">
        <f t="shared" si="26"/>
        <v>100.72666331997243</v>
      </c>
      <c r="AB103" s="40">
        <f t="shared" si="77"/>
        <v>374.92293033787541</v>
      </c>
      <c r="AC103" s="42">
        <f t="shared" si="7"/>
        <v>-66.789615713376577</v>
      </c>
      <c r="AD103" s="43">
        <f t="shared" si="13"/>
        <v>115.71780222050626</v>
      </c>
      <c r="AE103" s="42">
        <f t="shared" si="8"/>
        <v>3970.5324520597287</v>
      </c>
      <c r="AF103" s="43"/>
      <c r="AG103" s="44" t="e">
        <f t="shared" si="49"/>
        <v>#N/A</v>
      </c>
      <c r="AH103" s="45">
        <f>IF($M$3="F",315*Z103/BB103,315*Z103/AV103)</f>
        <v>58.453405352092162</v>
      </c>
      <c r="AI103" s="46" t="str">
        <f t="shared" si="62"/>
        <v/>
      </c>
      <c r="AJ103" s="47">
        <f t="shared" si="14"/>
        <v>9.3404426826993927E-3</v>
      </c>
      <c r="AK103" s="61"/>
      <c r="AL103" s="22">
        <v>57</v>
      </c>
      <c r="AM103" s="8">
        <f>$M$5</f>
        <v>0</v>
      </c>
      <c r="AN103" s="8"/>
      <c r="AO103" s="8"/>
      <c r="AP103" s="8">
        <f>$M$5</f>
        <v>0</v>
      </c>
      <c r="AQ103" s="79"/>
      <c r="AR103" s="77" t="e">
        <f t="shared" si="42"/>
        <v>#N/A</v>
      </c>
      <c r="AS103" s="49">
        <v>5</v>
      </c>
      <c r="AT103" s="50">
        <f t="shared" si="15"/>
        <v>22500</v>
      </c>
      <c r="AU103" s="49">
        <v>20</v>
      </c>
      <c r="AV103" s="49">
        <f t="shared" si="16"/>
        <v>36000</v>
      </c>
      <c r="AW103" s="51">
        <f t="shared" si="17"/>
        <v>8.3500181462286776</v>
      </c>
      <c r="AX103" s="59">
        <v>0</v>
      </c>
      <c r="AY103" s="53">
        <f t="shared" si="18"/>
        <v>0</v>
      </c>
      <c r="AZ103" s="59">
        <v>14</v>
      </c>
      <c r="BA103" s="59">
        <f t="shared" si="30"/>
        <v>2105</v>
      </c>
      <c r="BB103" s="53">
        <v>20000</v>
      </c>
      <c r="BC103" s="53" t="e">
        <f t="shared" si="75"/>
        <v>#N/A</v>
      </c>
      <c r="BD103" s="52">
        <v>200</v>
      </c>
      <c r="BE103" s="88" t="s">
        <v>56</v>
      </c>
      <c r="BF103" s="91">
        <v>17</v>
      </c>
      <c r="BG103" s="76">
        <v>46329</v>
      </c>
    </row>
    <row r="104" spans="9:59" x14ac:dyDescent="0.2">
      <c r="I104" s="73">
        <v>46330</v>
      </c>
      <c r="J104" s="42">
        <v>50</v>
      </c>
      <c r="K104" s="83"/>
      <c r="L104" s="42">
        <f t="shared" si="22"/>
        <v>3970.5324520597287</v>
      </c>
      <c r="M104" s="35">
        <f t="shared" si="0"/>
        <v>200</v>
      </c>
      <c r="N104" s="36">
        <f t="shared" si="23"/>
        <v>3711.3273239423597</v>
      </c>
      <c r="O104" s="8">
        <f t="shared" si="68"/>
        <v>0</v>
      </c>
      <c r="P104" s="56">
        <f t="shared" si="43"/>
        <v>0</v>
      </c>
      <c r="Q104" s="60" t="str">
        <f t="shared" si="44"/>
        <v/>
      </c>
      <c r="R104" s="60" t="str">
        <f t="shared" si="45"/>
        <v/>
      </c>
      <c r="S104" s="60" t="str">
        <f t="shared" si="51"/>
        <v/>
      </c>
      <c r="T104" s="60" t="str">
        <f t="shared" si="52"/>
        <v/>
      </c>
      <c r="U104" s="39">
        <f t="shared" si="40"/>
        <v>3711.3273239423597</v>
      </c>
      <c r="V104" s="40">
        <f t="shared" si="25"/>
        <v>374.92293033787541</v>
      </c>
      <c r="W104" s="40">
        <f t="shared" si="3"/>
        <v>18.556636619711799</v>
      </c>
      <c r="X104" s="40">
        <f t="shared" si="41"/>
        <v>87.681216968484492</v>
      </c>
      <c r="Y104" s="40">
        <f>(X104*$D$42)-X104</f>
        <v>35.072486787393785</v>
      </c>
      <c r="Z104" s="42">
        <f t="shared" si="5"/>
        <v>3815.5243910785262</v>
      </c>
      <c r="AA104" s="42">
        <f t="shared" si="26"/>
        <v>104.19706713616642</v>
      </c>
      <c r="AB104" s="40">
        <f t="shared" si="77"/>
        <v>305.79834998910275</v>
      </c>
      <c r="AC104" s="42">
        <f t="shared" si="7"/>
        <v>-69.124580348772668</v>
      </c>
      <c r="AD104" s="43">
        <f t="shared" si="13"/>
        <v>119.08754818910434</v>
      </c>
      <c r="AE104" s="42">
        <f t="shared" si="8"/>
        <v>4002.2351928785247</v>
      </c>
      <c r="AF104" s="43">
        <f t="shared" ref="AF104" si="80">AD104</f>
        <v>119.08754818910434</v>
      </c>
      <c r="AG104" s="44" t="e">
        <f t="shared" si="49"/>
        <v>#N/A</v>
      </c>
      <c r="AH104" s="45">
        <f>IF($M$3="F",315*Z104/BB104,315*Z104/AV104)</f>
        <v>60.09450915948679</v>
      </c>
      <c r="AI104" s="46" t="str">
        <f t="shared" si="62"/>
        <v/>
      </c>
      <c r="AJ104" s="47">
        <f t="shared" si="14"/>
        <v>8.6153240419603073E-3</v>
      </c>
      <c r="AK104" s="61"/>
      <c r="AL104" s="22">
        <v>57</v>
      </c>
      <c r="AM104" s="8"/>
      <c r="AN104" s="8">
        <f>$M$5</f>
        <v>0</v>
      </c>
      <c r="AO104" s="8">
        <f>$M$5</f>
        <v>0</v>
      </c>
      <c r="AP104" s="8"/>
      <c r="AQ104" s="8"/>
      <c r="AR104" s="77" t="e">
        <f t="shared" si="42"/>
        <v>#N/A</v>
      </c>
      <c r="AS104" s="49">
        <v>5</v>
      </c>
      <c r="AT104" s="50">
        <f t="shared" si="15"/>
        <v>22500</v>
      </c>
      <c r="AU104" s="49">
        <v>20</v>
      </c>
      <c r="AV104" s="49">
        <f t="shared" si="16"/>
        <v>36000</v>
      </c>
      <c r="AW104" s="51">
        <f t="shared" si="17"/>
        <v>8.3500181462286776</v>
      </c>
      <c r="AX104" s="59">
        <v>0</v>
      </c>
      <c r="AY104" s="53">
        <f t="shared" si="18"/>
        <v>0</v>
      </c>
      <c r="AZ104" s="59">
        <v>15</v>
      </c>
      <c r="BA104" s="59">
        <f t="shared" si="30"/>
        <v>2110</v>
      </c>
      <c r="BB104" s="53">
        <v>20000</v>
      </c>
      <c r="BC104" s="53" t="e">
        <f t="shared" si="75"/>
        <v>#N/A</v>
      </c>
      <c r="BD104" s="52">
        <v>200</v>
      </c>
      <c r="BE104" s="88" t="s">
        <v>56</v>
      </c>
      <c r="BF104" s="91">
        <v>18</v>
      </c>
      <c r="BG104" s="76">
        <v>46330</v>
      </c>
    </row>
    <row r="105" spans="9:59" x14ac:dyDescent="0.2">
      <c r="I105" s="73">
        <v>46331</v>
      </c>
      <c r="J105" s="42">
        <v>51</v>
      </c>
      <c r="K105" s="83"/>
      <c r="L105" s="42">
        <f t="shared" si="22"/>
        <v>4002.2351928785247</v>
      </c>
      <c r="M105" s="35">
        <f t="shared" si="0"/>
        <v>200</v>
      </c>
      <c r="N105" s="36">
        <f t="shared" si="23"/>
        <v>3815.5243910785262</v>
      </c>
      <c r="O105" s="8">
        <f t="shared" si="68"/>
        <v>0</v>
      </c>
      <c r="P105" s="56">
        <f t="shared" si="43"/>
        <v>0</v>
      </c>
      <c r="Q105" s="60" t="str">
        <f t="shared" si="44"/>
        <v/>
      </c>
      <c r="R105" s="60" t="str">
        <f t="shared" si="45"/>
        <v/>
      </c>
      <c r="S105" s="60" t="str">
        <f t="shared" si="51"/>
        <v/>
      </c>
      <c r="T105" s="60" t="str">
        <f t="shared" si="52"/>
        <v/>
      </c>
      <c r="U105" s="39">
        <f t="shared" si="40"/>
        <v>3815.5243910785262</v>
      </c>
      <c r="V105" s="40">
        <f t="shared" si="25"/>
        <v>305.79834998910275</v>
      </c>
      <c r="W105" s="40">
        <f t="shared" si="3"/>
        <v>19.07762195539263</v>
      </c>
      <c r="X105" s="40">
        <f t="shared" si="41"/>
        <v>90.411974389001088</v>
      </c>
      <c r="Y105" s="40">
        <f>(X105*$D$42)-X105</f>
        <v>36.164789755600424</v>
      </c>
      <c r="Z105" s="42">
        <f t="shared" si="5"/>
        <v>3923.0235332677348</v>
      </c>
      <c r="AA105" s="42">
        <f t="shared" si="26"/>
        <v>107.49914218920867</v>
      </c>
      <c r="AB105" s="40">
        <f t="shared" si="77"/>
        <v>234.46399755549427</v>
      </c>
      <c r="AC105" s="42">
        <f t="shared" si="7"/>
        <v>-71.334352433608473</v>
      </c>
      <c r="AD105" s="43">
        <f t="shared" si="13"/>
        <v>122.51170209366349</v>
      </c>
      <c r="AE105" s="42">
        <f t="shared" si="8"/>
        <v>4034.9758287295658</v>
      </c>
      <c r="AF105" s="43"/>
      <c r="AG105" s="44" t="e">
        <f t="shared" si="49"/>
        <v>#N/A</v>
      </c>
      <c r="AH105" s="45"/>
      <c r="AI105" s="46" t="str">
        <f t="shared" si="62"/>
        <v/>
      </c>
      <c r="AJ105" s="47">
        <f t="shared" si="14"/>
        <v>7.9845061592054376E-3</v>
      </c>
      <c r="AK105" s="34"/>
      <c r="AL105" s="22">
        <v>57</v>
      </c>
      <c r="AM105" s="8"/>
      <c r="AN105" s="8"/>
      <c r="AO105" s="8"/>
      <c r="AP105" s="8"/>
      <c r="AQ105" s="8"/>
      <c r="AR105" s="77" t="e">
        <f t="shared" si="42"/>
        <v>#N/A</v>
      </c>
      <c r="AS105" s="49">
        <v>5</v>
      </c>
      <c r="AT105" s="50">
        <f t="shared" si="15"/>
        <v>22500</v>
      </c>
      <c r="AU105" s="49">
        <v>20</v>
      </c>
      <c r="AV105" s="49">
        <f t="shared" si="16"/>
        <v>36000</v>
      </c>
      <c r="AW105" s="51">
        <f t="shared" si="17"/>
        <v>8.3500181462286776</v>
      </c>
      <c r="AX105" s="59">
        <v>0</v>
      </c>
      <c r="AY105" s="53">
        <f t="shared" si="18"/>
        <v>0</v>
      </c>
      <c r="AZ105" s="59">
        <v>16</v>
      </c>
      <c r="BA105" s="59">
        <f t="shared" si="30"/>
        <v>2115</v>
      </c>
      <c r="BB105" s="53">
        <v>20000</v>
      </c>
      <c r="BC105" s="53" t="e">
        <f t="shared" si="75"/>
        <v>#N/A</v>
      </c>
      <c r="BD105" s="52">
        <v>200</v>
      </c>
      <c r="BE105" s="88" t="s">
        <v>56</v>
      </c>
      <c r="BF105" s="91">
        <v>19</v>
      </c>
      <c r="BG105" s="76">
        <v>46331</v>
      </c>
    </row>
    <row r="106" spans="9:59" x14ac:dyDescent="0.2">
      <c r="I106" s="73">
        <v>46332</v>
      </c>
      <c r="J106" s="42">
        <v>52</v>
      </c>
      <c r="K106" s="83"/>
      <c r="L106" s="42">
        <f t="shared" si="22"/>
        <v>4034.9758287295658</v>
      </c>
      <c r="M106" s="35">
        <f t="shared" ref="M106:M114" si="81">IF($M$3="S",AW106,IF($M$3="F",BD106))</f>
        <v>200</v>
      </c>
      <c r="N106" s="36">
        <f t="shared" si="23"/>
        <v>3923.0235332677348</v>
      </c>
      <c r="O106" s="8">
        <f t="shared" si="68"/>
        <v>0</v>
      </c>
      <c r="P106" s="56">
        <f t="shared" si="43"/>
        <v>0</v>
      </c>
      <c r="Q106" s="60" t="str">
        <f t="shared" si="44"/>
        <v/>
      </c>
      <c r="R106" s="60" t="str">
        <f t="shared" si="45"/>
        <v/>
      </c>
      <c r="S106" s="60" t="str">
        <f t="shared" si="51"/>
        <v/>
      </c>
      <c r="T106" s="60" t="str">
        <f t="shared" si="52"/>
        <v/>
      </c>
      <c r="U106" s="39">
        <f t="shared" si="40"/>
        <v>3923.0235332677348</v>
      </c>
      <c r="V106" s="40">
        <f>AB105</f>
        <v>234.46399755549427</v>
      </c>
      <c r="W106" s="40">
        <f t="shared" ref="W106:W114" si="82">U106/M106</f>
        <v>19.615117666338673</v>
      </c>
      <c r="X106" s="40">
        <f t="shared" si="41"/>
        <v>93.030272606926971</v>
      </c>
      <c r="Y106" s="40">
        <f>(X106*$D$42)-X106</f>
        <v>37.212109042770791</v>
      </c>
      <c r="Z106" s="42">
        <f t="shared" ref="Z106:Z114" si="83">U106-W106+X106+Y106</f>
        <v>4033.650797251094</v>
      </c>
      <c r="AA106" s="42">
        <f t="shared" si="26"/>
        <v>110.62726398335917</v>
      </c>
      <c r="AB106" s="40">
        <f t="shared" si="77"/>
        <v>161.04884261490599</v>
      </c>
      <c r="AC106" s="42">
        <f t="shared" ref="AC106:AC114" si="84">AB106-V106</f>
        <v>-73.41515494058828</v>
      </c>
      <c r="AD106" s="43">
        <f t="shared" si="13"/>
        <v>125.98467011377147</v>
      </c>
      <c r="AE106" s="42">
        <f t="shared" ref="AE106:AE114" si="85">Z106+AB106-AD106</f>
        <v>4068.7149697522291</v>
      </c>
      <c r="AF106" s="43">
        <f t="shared" ref="AF106" si="86">AD106</f>
        <v>125.98467011377147</v>
      </c>
      <c r="AG106" s="44" t="e">
        <f t="shared" si="49"/>
        <v>#N/A</v>
      </c>
      <c r="AH106" s="45"/>
      <c r="AI106" s="46" t="str">
        <f t="shared" si="62"/>
        <v/>
      </c>
      <c r="AJ106" s="47">
        <f t="shared" si="14"/>
        <v>8.1805876649375803E-3</v>
      </c>
      <c r="AK106" s="61"/>
      <c r="AL106" s="22">
        <v>57</v>
      </c>
      <c r="AM106" s="8"/>
      <c r="AN106" s="8"/>
      <c r="AO106" s="8"/>
      <c r="AP106" s="8"/>
      <c r="AQ106" s="79"/>
      <c r="AR106" s="77" t="e">
        <f t="shared" si="42"/>
        <v>#N/A</v>
      </c>
      <c r="AS106" s="49">
        <v>5</v>
      </c>
      <c r="AT106" s="50">
        <f t="shared" si="15"/>
        <v>22500</v>
      </c>
      <c r="AU106" s="49">
        <v>20</v>
      </c>
      <c r="AV106" s="49">
        <f t="shared" si="16"/>
        <v>36000</v>
      </c>
      <c r="AW106" s="51">
        <f t="shared" si="17"/>
        <v>8.3500181462286776</v>
      </c>
      <c r="AX106" s="59">
        <v>0</v>
      </c>
      <c r="AY106" s="53">
        <f t="shared" si="18"/>
        <v>0</v>
      </c>
      <c r="AZ106" s="59">
        <v>17</v>
      </c>
      <c r="BA106" s="59">
        <f t="shared" si="30"/>
        <v>2120</v>
      </c>
      <c r="BB106" s="53">
        <v>20000</v>
      </c>
      <c r="BC106" s="53" t="e">
        <f t="shared" si="75"/>
        <v>#N/A</v>
      </c>
      <c r="BD106" s="52">
        <v>200</v>
      </c>
      <c r="BE106" s="88" t="s">
        <v>56</v>
      </c>
      <c r="BF106" s="91">
        <v>20</v>
      </c>
      <c r="BG106" s="76">
        <v>46332</v>
      </c>
    </row>
    <row r="107" spans="9:59" x14ac:dyDescent="0.2">
      <c r="I107" s="73">
        <v>46333</v>
      </c>
      <c r="J107" s="42">
        <v>53</v>
      </c>
      <c r="K107" s="83"/>
      <c r="L107" s="42">
        <f t="shared" si="22"/>
        <v>4068.7149697522291</v>
      </c>
      <c r="M107" s="35">
        <f t="shared" si="81"/>
        <v>200</v>
      </c>
      <c r="N107" s="36">
        <f t="shared" si="23"/>
        <v>4033.650797251094</v>
      </c>
      <c r="O107" s="8">
        <f t="shared" si="68"/>
        <v>0</v>
      </c>
      <c r="P107" s="56">
        <f t="shared" si="43"/>
        <v>0</v>
      </c>
      <c r="Q107" s="60" t="str">
        <f t="shared" si="44"/>
        <v/>
      </c>
      <c r="R107" s="60" t="str">
        <f t="shared" si="45"/>
        <v/>
      </c>
      <c r="S107" s="60" t="str">
        <f t="shared" si="51"/>
        <v/>
      </c>
      <c r="T107" s="60" t="str">
        <f t="shared" si="52"/>
        <v/>
      </c>
      <c r="U107" s="39">
        <f t="shared" si="40"/>
        <v>4033.650797251094</v>
      </c>
      <c r="V107" s="40">
        <f>AB106</f>
        <v>161.04884261490599</v>
      </c>
      <c r="W107" s="40">
        <f t="shared" si="82"/>
        <v>20.168253986255468</v>
      </c>
      <c r="X107" s="40">
        <f t="shared" si="41"/>
        <v>12.69172416909141</v>
      </c>
      <c r="Y107" s="40">
        <f>(X107*$D$42)-X107</f>
        <v>5.0766896676365629</v>
      </c>
      <c r="Z107" s="42">
        <f t="shared" si="83"/>
        <v>4031.2509571015662</v>
      </c>
      <c r="AA107" s="42">
        <f t="shared" si="26"/>
        <v>-2.3998401495277903</v>
      </c>
      <c r="AB107" s="40">
        <f t="shared" si="77"/>
        <v>168.52537243207007</v>
      </c>
      <c r="AC107" s="42">
        <f t="shared" si="84"/>
        <v>7.4765298171640779</v>
      </c>
      <c r="AD107" s="43">
        <f t="shared" ref="AD107:AD114" si="87">(N107+X107*12)*0.025</f>
        <v>104.64878718200478</v>
      </c>
      <c r="AE107" s="42">
        <f t="shared" si="85"/>
        <v>4095.1275423516313</v>
      </c>
      <c r="AF107" s="43"/>
      <c r="AG107" s="44" t="e">
        <f t="shared" si="49"/>
        <v>#N/A</v>
      </c>
      <c r="AH107" s="45"/>
      <c r="AI107" s="46" t="str">
        <f t="shared" si="62"/>
        <v/>
      </c>
      <c r="AJ107" s="47">
        <f t="shared" ref="AJ107:AJ114" si="88">(L107-L106)/L106</f>
        <v>8.3616711610602669E-3</v>
      </c>
      <c r="AK107" s="61"/>
      <c r="AL107" s="22">
        <v>57</v>
      </c>
      <c r="AM107" s="8">
        <f>$M$5</f>
        <v>0</v>
      </c>
      <c r="AN107" s="8"/>
      <c r="AO107" s="8"/>
      <c r="AP107" s="8"/>
      <c r="AQ107" s="8"/>
      <c r="AR107" s="77" t="e">
        <f t="shared" si="42"/>
        <v>#N/A</v>
      </c>
      <c r="AS107" s="49">
        <v>5</v>
      </c>
      <c r="AT107" s="50">
        <f t="shared" ref="AT107:AT114" si="89">AS107*4500</f>
        <v>22500</v>
      </c>
      <c r="AU107" s="49">
        <v>20</v>
      </c>
      <c r="AV107" s="49">
        <f t="shared" ref="AV107:AV114" si="90">AU107*1800</f>
        <v>36000</v>
      </c>
      <c r="AW107" s="51">
        <f t="shared" ref="AW107:AW114" si="91">5*LN(AV107/AT107)+6</f>
        <v>8.3500181462286776</v>
      </c>
      <c r="AX107" s="59">
        <v>0</v>
      </c>
      <c r="AY107" s="53">
        <f t="shared" ref="AY107:AY114" si="92">AX107*4500</f>
        <v>0</v>
      </c>
      <c r="AZ107" s="59">
        <v>18</v>
      </c>
      <c r="BA107" s="59">
        <f t="shared" si="30"/>
        <v>2125</v>
      </c>
      <c r="BB107" s="53">
        <v>20000</v>
      </c>
      <c r="BC107" s="53" t="e">
        <f t="shared" si="75"/>
        <v>#N/A</v>
      </c>
      <c r="BD107" s="52">
        <v>200</v>
      </c>
      <c r="BE107" s="88" t="s">
        <v>56</v>
      </c>
      <c r="BF107" s="91">
        <v>21</v>
      </c>
      <c r="BG107" s="76">
        <v>46333</v>
      </c>
    </row>
    <row r="108" spans="9:59" x14ac:dyDescent="0.2">
      <c r="I108" s="73">
        <v>46334</v>
      </c>
      <c r="J108" s="42">
        <v>54</v>
      </c>
      <c r="K108" s="83"/>
      <c r="L108" s="42">
        <f t="shared" ref="L108:L114" si="93">AE107</f>
        <v>4095.1275423516313</v>
      </c>
      <c r="M108" s="35">
        <f t="shared" si="81"/>
        <v>200</v>
      </c>
      <c r="N108" s="36">
        <f t="shared" ref="N108:N114" si="94">Z107</f>
        <v>4031.2509571015662</v>
      </c>
      <c r="O108" s="8">
        <f t="shared" si="68"/>
        <v>0</v>
      </c>
      <c r="P108" s="56">
        <f t="shared" si="43"/>
        <v>0</v>
      </c>
      <c r="Q108" s="60" t="str">
        <f t="shared" si="44"/>
        <v/>
      </c>
      <c r="R108" s="60" t="str">
        <f t="shared" si="45"/>
        <v/>
      </c>
      <c r="S108" s="60" t="str">
        <f t="shared" si="51"/>
        <v/>
      </c>
      <c r="T108" s="60" t="str">
        <f t="shared" si="52"/>
        <v/>
      </c>
      <c r="U108" s="39">
        <f t="shared" si="40"/>
        <v>4031.2509571015662</v>
      </c>
      <c r="V108" s="40">
        <f t="shared" ref="V108:V114" si="95">AB107</f>
        <v>168.52537243207007</v>
      </c>
      <c r="W108" s="40">
        <f t="shared" si="82"/>
        <v>20.15625478550783</v>
      </c>
      <c r="X108" s="40">
        <f t="shared" si="41"/>
        <v>13.421196125248576</v>
      </c>
      <c r="Y108" s="40">
        <f>(X108*$D$42)-X108</f>
        <v>5.3684784500994294</v>
      </c>
      <c r="Z108" s="42">
        <f t="shared" si="83"/>
        <v>4029.8843768914062</v>
      </c>
      <c r="AA108" s="42">
        <f t="shared" ref="AA108:AA114" si="96">Z108-N108</f>
        <v>-1.3665802101600093</v>
      </c>
      <c r="AB108" s="40">
        <f t="shared" si="77"/>
        <v>175.26043109232933</v>
      </c>
      <c r="AC108" s="42">
        <f t="shared" si="84"/>
        <v>6.7350586602592557</v>
      </c>
      <c r="AD108" s="43">
        <f t="shared" si="87"/>
        <v>104.80763276511374</v>
      </c>
      <c r="AE108" s="42">
        <f t="shared" si="85"/>
        <v>4100.3371752186222</v>
      </c>
      <c r="AF108" s="43">
        <f t="shared" ref="AF108" si="97">AD108</f>
        <v>104.80763276511374</v>
      </c>
      <c r="AG108" s="44" t="e">
        <f t="shared" si="49"/>
        <v>#N/A</v>
      </c>
      <c r="AH108" s="45"/>
      <c r="AI108" s="46" t="str">
        <f t="shared" si="62"/>
        <v/>
      </c>
      <c r="AJ108" s="47">
        <f t="shared" si="88"/>
        <v>6.4916251926614181E-3</v>
      </c>
      <c r="AK108" s="34">
        <f>L108</f>
        <v>4095.1275423516313</v>
      </c>
      <c r="AL108" s="22">
        <v>57</v>
      </c>
      <c r="AM108" s="8"/>
      <c r="AN108" s="8"/>
      <c r="AO108" s="8"/>
      <c r="AP108" s="79"/>
      <c r="AQ108" s="8"/>
      <c r="AR108" s="77" t="e">
        <f t="shared" si="42"/>
        <v>#N/A</v>
      </c>
      <c r="AS108" s="49">
        <v>5</v>
      </c>
      <c r="AT108" s="50">
        <f t="shared" si="89"/>
        <v>22500</v>
      </c>
      <c r="AU108" s="49">
        <v>20</v>
      </c>
      <c r="AV108" s="49">
        <f t="shared" si="90"/>
        <v>36000</v>
      </c>
      <c r="AW108" s="51">
        <f t="shared" si="91"/>
        <v>8.3500181462286776</v>
      </c>
      <c r="AX108" s="59">
        <v>0</v>
      </c>
      <c r="AY108" s="53">
        <f t="shared" si="92"/>
        <v>0</v>
      </c>
      <c r="AZ108" s="59">
        <v>19</v>
      </c>
      <c r="BA108" s="59">
        <f t="shared" ref="BA108:BA114" si="98">BA107+5</f>
        <v>2130</v>
      </c>
      <c r="BB108" s="53">
        <v>20000</v>
      </c>
      <c r="BC108" s="53" t="e">
        <f t="shared" si="75"/>
        <v>#N/A</v>
      </c>
      <c r="BD108" s="52">
        <v>200</v>
      </c>
      <c r="BE108" s="88" t="s">
        <v>49</v>
      </c>
      <c r="BF108" s="91">
        <v>22</v>
      </c>
      <c r="BG108" s="76">
        <v>46334</v>
      </c>
    </row>
    <row r="109" spans="9:59" x14ac:dyDescent="0.2">
      <c r="I109" s="73">
        <v>46335</v>
      </c>
      <c r="J109" s="42">
        <v>55</v>
      </c>
      <c r="K109" s="83"/>
      <c r="L109" s="42">
        <f t="shared" si="93"/>
        <v>4100.3371752186222</v>
      </c>
      <c r="M109" s="35">
        <f t="shared" si="81"/>
        <v>200</v>
      </c>
      <c r="N109" s="36">
        <f t="shared" si="94"/>
        <v>4029.8843768914062</v>
      </c>
      <c r="O109" s="8">
        <f t="shared" si="68"/>
        <v>0</v>
      </c>
      <c r="P109" s="56">
        <f t="shared" si="43"/>
        <v>0</v>
      </c>
      <c r="Q109" s="60" t="str">
        <f t="shared" si="44"/>
        <v/>
      </c>
      <c r="R109" s="60" t="str">
        <f t="shared" si="45"/>
        <v/>
      </c>
      <c r="S109" s="60" t="str">
        <f t="shared" si="51"/>
        <v/>
      </c>
      <c r="T109" s="60" t="str">
        <f t="shared" si="52"/>
        <v/>
      </c>
      <c r="U109" s="39">
        <f t="shared" si="40"/>
        <v>4029.8843768914062</v>
      </c>
      <c r="V109" s="40">
        <f t="shared" si="95"/>
        <v>175.26043109232933</v>
      </c>
      <c r="W109" s="40">
        <f t="shared" si="82"/>
        <v>20.149421884457031</v>
      </c>
      <c r="X109" s="40">
        <f t="shared" si="41"/>
        <v>14.140740947030984</v>
      </c>
      <c r="Y109" s="40">
        <f>(X109*$D$42)-X109</f>
        <v>5.6562963788123923</v>
      </c>
      <c r="Z109" s="42">
        <f t="shared" si="83"/>
        <v>4029.5319923327929</v>
      </c>
      <c r="AA109" s="42">
        <f t="shared" si="96"/>
        <v>-0.35238455861326656</v>
      </c>
      <c r="AB109" s="40">
        <f t="shared" si="77"/>
        <v>181.26911202975538</v>
      </c>
      <c r="AC109" s="42">
        <f t="shared" si="84"/>
        <v>6.0086809374260497</v>
      </c>
      <c r="AD109" s="43">
        <f t="shared" si="87"/>
        <v>104.98933170639447</v>
      </c>
      <c r="AE109" s="42">
        <f t="shared" si="85"/>
        <v>4105.8117726561541</v>
      </c>
      <c r="AF109" s="43"/>
      <c r="AG109" s="44" t="e">
        <f t="shared" si="49"/>
        <v>#N/A</v>
      </c>
      <c r="AH109" s="45"/>
      <c r="AI109" s="46" t="str">
        <f t="shared" si="62"/>
        <v/>
      </c>
      <c r="AJ109" s="47">
        <f t="shared" si="88"/>
        <v>1.2721539959654712E-3</v>
      </c>
      <c r="AK109" s="34"/>
      <c r="AL109" s="22">
        <v>57</v>
      </c>
      <c r="AM109" s="8"/>
      <c r="AN109" s="8">
        <f>$M$5</f>
        <v>0</v>
      </c>
      <c r="AO109" s="79"/>
      <c r="AP109" s="8"/>
      <c r="AQ109" s="79"/>
      <c r="AR109" s="77" t="e">
        <f t="shared" si="42"/>
        <v>#N/A</v>
      </c>
      <c r="AS109" s="49">
        <v>5</v>
      </c>
      <c r="AT109" s="50">
        <f t="shared" si="89"/>
        <v>22500</v>
      </c>
      <c r="AU109" s="49">
        <v>20</v>
      </c>
      <c r="AV109" s="49">
        <f t="shared" si="90"/>
        <v>36000</v>
      </c>
      <c r="AW109" s="51">
        <f t="shared" si="91"/>
        <v>8.3500181462286776</v>
      </c>
      <c r="AX109" s="59">
        <v>0</v>
      </c>
      <c r="AY109" s="53">
        <f t="shared" si="92"/>
        <v>0</v>
      </c>
      <c r="AZ109" s="59">
        <v>20</v>
      </c>
      <c r="BA109" s="59">
        <f t="shared" si="98"/>
        <v>2135</v>
      </c>
      <c r="BB109" s="53">
        <v>20000</v>
      </c>
      <c r="BC109" s="53" t="e">
        <f t="shared" si="75"/>
        <v>#N/A</v>
      </c>
      <c r="BD109" s="52">
        <v>200</v>
      </c>
      <c r="BE109" s="88" t="s">
        <v>49</v>
      </c>
      <c r="BF109" s="91">
        <v>23</v>
      </c>
      <c r="BG109" s="76">
        <v>46335</v>
      </c>
    </row>
    <row r="110" spans="9:59" x14ac:dyDescent="0.2">
      <c r="I110" s="73">
        <v>46336</v>
      </c>
      <c r="J110" s="42">
        <v>56</v>
      </c>
      <c r="K110" s="83">
        <v>1</v>
      </c>
      <c r="L110" s="42">
        <f t="shared" si="93"/>
        <v>4105.8117726561541</v>
      </c>
      <c r="M110" s="35">
        <f t="shared" si="81"/>
        <v>200</v>
      </c>
      <c r="N110" s="36">
        <f t="shared" si="94"/>
        <v>4029.5319923327929</v>
      </c>
      <c r="O110" s="8">
        <f t="shared" si="68"/>
        <v>0</v>
      </c>
      <c r="P110" s="56">
        <f t="shared" si="43"/>
        <v>0</v>
      </c>
      <c r="Q110" s="60" t="str">
        <f t="shared" si="44"/>
        <v/>
      </c>
      <c r="R110" s="60" t="str">
        <f t="shared" si="45"/>
        <v/>
      </c>
      <c r="S110" s="60" t="str">
        <f t="shared" si="51"/>
        <v/>
      </c>
      <c r="T110" s="60" t="str">
        <f t="shared" si="52"/>
        <v/>
      </c>
      <c r="U110" s="39">
        <f t="shared" si="40"/>
        <v>4029.5319923327929</v>
      </c>
      <c r="V110" s="40">
        <f t="shared" si="95"/>
        <v>181.26911202975538</v>
      </c>
      <c r="W110" s="40">
        <f t="shared" si="82"/>
        <v>20.147659961663965</v>
      </c>
      <c r="X110" s="40">
        <f t="shared" si="41"/>
        <v>14.848022997520703</v>
      </c>
      <c r="Y110" s="40">
        <f>(X110*$D$42)-X110</f>
        <v>5.93920919900828</v>
      </c>
      <c r="Z110" s="42">
        <f t="shared" si="83"/>
        <v>4030.1715645676582</v>
      </c>
      <c r="AA110" s="42">
        <f t="shared" si="96"/>
        <v>0.63957223486522707</v>
      </c>
      <c r="AB110" s="40">
        <f t="shared" si="77"/>
        <v>186.56874899389865</v>
      </c>
      <c r="AC110" s="42">
        <f t="shared" si="84"/>
        <v>5.299636964143275</v>
      </c>
      <c r="AD110" s="43">
        <f t="shared" si="87"/>
        <v>105.19270670757604</v>
      </c>
      <c r="AE110" s="42">
        <f t="shared" si="85"/>
        <v>4111.5476068539811</v>
      </c>
      <c r="AF110" s="43">
        <f t="shared" ref="AF110" si="99">AD110</f>
        <v>105.19270670757604</v>
      </c>
      <c r="AG110" s="44" t="e">
        <f t="shared" si="49"/>
        <v>#N/A</v>
      </c>
      <c r="AH110" s="45"/>
      <c r="AI110" s="46" t="str">
        <f t="shared" si="62"/>
        <v/>
      </c>
      <c r="AJ110" s="47">
        <f t="shared" si="88"/>
        <v>1.3351578671673479E-3</v>
      </c>
      <c r="AK110" s="34"/>
      <c r="AL110" s="22">
        <v>57</v>
      </c>
      <c r="AM110" s="8"/>
      <c r="AN110" s="8"/>
      <c r="AO110" s="8"/>
      <c r="AP110" s="79"/>
      <c r="AQ110" s="79"/>
      <c r="AR110" s="77" t="e">
        <f t="shared" si="42"/>
        <v>#N/A</v>
      </c>
      <c r="AS110" s="49">
        <v>5</v>
      </c>
      <c r="AT110" s="50">
        <f t="shared" si="89"/>
        <v>22500</v>
      </c>
      <c r="AU110" s="49">
        <v>20</v>
      </c>
      <c r="AV110" s="49">
        <f t="shared" si="90"/>
        <v>36000</v>
      </c>
      <c r="AW110" s="51">
        <f t="shared" si="91"/>
        <v>8.3500181462286776</v>
      </c>
      <c r="AX110" s="59">
        <v>0</v>
      </c>
      <c r="AY110" s="53">
        <f t="shared" si="92"/>
        <v>0</v>
      </c>
      <c r="AZ110" s="59">
        <v>21</v>
      </c>
      <c r="BA110" s="59">
        <f t="shared" si="98"/>
        <v>2140</v>
      </c>
      <c r="BB110" s="53">
        <v>20000</v>
      </c>
      <c r="BC110" s="53" t="e">
        <f t="shared" si="75"/>
        <v>#N/A</v>
      </c>
      <c r="BD110" s="52">
        <v>200</v>
      </c>
      <c r="BE110" s="88" t="s">
        <v>49</v>
      </c>
      <c r="BF110" s="91">
        <v>24</v>
      </c>
      <c r="BG110" s="76">
        <v>46336</v>
      </c>
    </row>
    <row r="111" spans="9:59" x14ac:dyDescent="0.2">
      <c r="I111" s="73">
        <v>46337</v>
      </c>
      <c r="J111" s="42">
        <v>57</v>
      </c>
      <c r="K111" s="83"/>
      <c r="L111" s="42">
        <f t="shared" si="93"/>
        <v>4111.5476068539811</v>
      </c>
      <c r="M111" s="35">
        <f t="shared" si="81"/>
        <v>200</v>
      </c>
      <c r="N111" s="36">
        <f t="shared" si="94"/>
        <v>4030.1715645676582</v>
      </c>
      <c r="O111" s="8">
        <f t="shared" si="68"/>
        <v>0</v>
      </c>
      <c r="P111" s="56">
        <f t="shared" si="43"/>
        <v>0</v>
      </c>
      <c r="Q111" s="60" t="str">
        <f t="shared" si="44"/>
        <v/>
      </c>
      <c r="R111" s="60" t="str">
        <f t="shared" si="45"/>
        <v/>
      </c>
      <c r="S111" s="60" t="str">
        <f t="shared" si="51"/>
        <v/>
      </c>
      <c r="T111" s="60" t="str">
        <f t="shared" si="52"/>
        <v/>
      </c>
      <c r="U111" s="39">
        <f t="shared" si="40"/>
        <v>4030.1715645676582</v>
      </c>
      <c r="V111" s="40">
        <f t="shared" si="95"/>
        <v>186.56874899389865</v>
      </c>
      <c r="W111" s="40">
        <f t="shared" si="82"/>
        <v>20.15085782283829</v>
      </c>
      <c r="X111" s="40">
        <f t="shared" si="41"/>
        <v>15.540133891530434</v>
      </c>
      <c r="Y111" s="40">
        <f>(X111*$D$42)-X111</f>
        <v>6.2160535566121737</v>
      </c>
      <c r="Z111" s="42">
        <f t="shared" si="83"/>
        <v>4031.7768941929626</v>
      </c>
      <c r="AA111" s="42">
        <f t="shared" si="96"/>
        <v>1.6053296253044209</v>
      </c>
      <c r="AB111" s="40">
        <f t="shared" si="77"/>
        <v>191.17947292520648</v>
      </c>
      <c r="AC111" s="42">
        <f t="shared" si="84"/>
        <v>4.610723931307831</v>
      </c>
      <c r="AD111" s="43">
        <f t="shared" si="87"/>
        <v>105.41632928165059</v>
      </c>
      <c r="AE111" s="42">
        <f t="shared" si="85"/>
        <v>4117.5400378365193</v>
      </c>
      <c r="AF111" s="43"/>
      <c r="AG111" s="44" t="e">
        <f t="shared" si="49"/>
        <v>#N/A</v>
      </c>
      <c r="AH111" s="45"/>
      <c r="AI111" s="46" t="str">
        <f t="shared" si="62"/>
        <v/>
      </c>
      <c r="AJ111" s="47">
        <f t="shared" si="88"/>
        <v>1.3970036902389055E-3</v>
      </c>
      <c r="AK111" s="34"/>
      <c r="AL111" s="22">
        <v>57</v>
      </c>
      <c r="AM111" s="8">
        <f>$M$5</f>
        <v>0</v>
      </c>
      <c r="AN111" s="8"/>
      <c r="AO111" s="8">
        <f>$M$5</f>
        <v>0</v>
      </c>
      <c r="AP111" s="8"/>
      <c r="AQ111" s="8">
        <f>$M$5</f>
        <v>0</v>
      </c>
      <c r="AR111" s="77" t="e">
        <f t="shared" si="42"/>
        <v>#N/A</v>
      </c>
      <c r="AS111" s="49">
        <v>5</v>
      </c>
      <c r="AT111" s="50">
        <f t="shared" si="89"/>
        <v>22500</v>
      </c>
      <c r="AU111" s="49">
        <v>20</v>
      </c>
      <c r="AV111" s="49">
        <f t="shared" si="90"/>
        <v>36000</v>
      </c>
      <c r="AW111" s="51">
        <f t="shared" si="91"/>
        <v>8.3500181462286776</v>
      </c>
      <c r="AX111" s="59">
        <v>0</v>
      </c>
      <c r="AY111" s="53">
        <f t="shared" si="92"/>
        <v>0</v>
      </c>
      <c r="AZ111" s="59">
        <v>22</v>
      </c>
      <c r="BA111" s="59">
        <f t="shared" si="98"/>
        <v>2145</v>
      </c>
      <c r="BB111" s="53">
        <v>20000</v>
      </c>
      <c r="BC111" s="53" t="e">
        <f t="shared" si="75"/>
        <v>#N/A</v>
      </c>
      <c r="BD111" s="52">
        <v>200</v>
      </c>
      <c r="BE111" s="88" t="s">
        <v>49</v>
      </c>
      <c r="BF111" s="91">
        <v>25</v>
      </c>
      <c r="BG111" s="76">
        <v>46337</v>
      </c>
    </row>
    <row r="112" spans="9:59" x14ac:dyDescent="0.2">
      <c r="I112" s="73">
        <v>46338</v>
      </c>
      <c r="J112" s="42">
        <v>58</v>
      </c>
      <c r="K112" s="83"/>
      <c r="L112" s="42">
        <f t="shared" si="93"/>
        <v>4117.5400378365193</v>
      </c>
      <c r="M112" s="35">
        <f t="shared" si="81"/>
        <v>200</v>
      </c>
      <c r="N112" s="36">
        <f t="shared" si="94"/>
        <v>4031.7768941929626</v>
      </c>
      <c r="O112" s="8">
        <f t="shared" si="68"/>
        <v>0</v>
      </c>
      <c r="P112" s="56">
        <f t="shared" si="43"/>
        <v>0</v>
      </c>
      <c r="Q112" s="60" t="str">
        <f t="shared" si="44"/>
        <v/>
      </c>
      <c r="R112" s="60" t="str">
        <f t="shared" si="45"/>
        <v/>
      </c>
      <c r="S112" s="60" t="str">
        <f t="shared" si="51"/>
        <v/>
      </c>
      <c r="T112" s="60" t="str">
        <f t="shared" si="52"/>
        <v/>
      </c>
      <c r="U112" s="39">
        <f t="shared" si="40"/>
        <v>4031.7768941929626</v>
      </c>
      <c r="V112" s="40">
        <f t="shared" si="95"/>
        <v>191.17947292520648</v>
      </c>
      <c r="W112" s="40">
        <f t="shared" si="82"/>
        <v>20.158884470964814</v>
      </c>
      <c r="X112" s="40">
        <f t="shared" si="41"/>
        <v>16.213319504730006</v>
      </c>
      <c r="Y112" s="40">
        <f>(X112*$D$42)-X112</f>
        <v>6.4853278018920015</v>
      </c>
      <c r="Z112" s="42">
        <f t="shared" si="83"/>
        <v>4034.3166570286194</v>
      </c>
      <c r="AA112" s="42">
        <f t="shared" si="96"/>
        <v>2.5397628356568021</v>
      </c>
      <c r="AB112" s="40">
        <f t="shared" si="77"/>
        <v>195.12503789144128</v>
      </c>
      <c r="AC112" s="42">
        <f t="shared" si="84"/>
        <v>3.945564966234798</v>
      </c>
      <c r="AD112" s="43">
        <f t="shared" si="87"/>
        <v>105.65841820624308</v>
      </c>
      <c r="AE112" s="42">
        <f t="shared" si="85"/>
        <v>4123.783276713817</v>
      </c>
      <c r="AF112" s="43">
        <f t="shared" ref="AF112" si="100">AD112</f>
        <v>105.65841820624308</v>
      </c>
      <c r="AG112" s="44" t="e">
        <f t="shared" si="49"/>
        <v>#N/A</v>
      </c>
      <c r="AH112" s="45"/>
      <c r="AI112" s="46" t="str">
        <f t="shared" si="62"/>
        <v/>
      </c>
      <c r="AJ112" s="47">
        <f t="shared" si="88"/>
        <v>1.4574636014304816E-3</v>
      </c>
      <c r="AK112" s="34"/>
      <c r="AL112" s="22">
        <v>57</v>
      </c>
      <c r="AM112" s="8"/>
      <c r="AN112" s="8"/>
      <c r="AO112" s="8"/>
      <c r="AP112" s="8"/>
      <c r="AQ112" s="8"/>
      <c r="AR112" s="77" t="e">
        <f t="shared" si="42"/>
        <v>#N/A</v>
      </c>
      <c r="AS112" s="49">
        <v>5</v>
      </c>
      <c r="AT112" s="50">
        <f t="shared" si="89"/>
        <v>22500</v>
      </c>
      <c r="AU112" s="49">
        <v>20</v>
      </c>
      <c r="AV112" s="49">
        <f t="shared" si="90"/>
        <v>36000</v>
      </c>
      <c r="AW112" s="51">
        <f t="shared" si="91"/>
        <v>8.3500181462286776</v>
      </c>
      <c r="AX112" s="59">
        <v>0</v>
      </c>
      <c r="AY112" s="53">
        <f t="shared" si="92"/>
        <v>0</v>
      </c>
      <c r="AZ112" s="59">
        <v>23</v>
      </c>
      <c r="BA112" s="59">
        <f t="shared" si="98"/>
        <v>2150</v>
      </c>
      <c r="BB112" s="53">
        <v>20000</v>
      </c>
      <c r="BC112" s="53" t="e">
        <f t="shared" si="75"/>
        <v>#N/A</v>
      </c>
      <c r="BD112" s="52">
        <v>200</v>
      </c>
      <c r="BE112" s="88" t="s">
        <v>49</v>
      </c>
      <c r="BF112" s="91">
        <v>26</v>
      </c>
      <c r="BG112" s="76">
        <v>46338</v>
      </c>
    </row>
    <row r="113" spans="9:59" x14ac:dyDescent="0.2">
      <c r="I113" s="73">
        <v>46339</v>
      </c>
      <c r="J113" s="42">
        <v>59</v>
      </c>
      <c r="K113" s="83">
        <v>1</v>
      </c>
      <c r="L113" s="42">
        <f t="shared" si="93"/>
        <v>4123.783276713817</v>
      </c>
      <c r="M113" s="35">
        <f t="shared" si="81"/>
        <v>200</v>
      </c>
      <c r="N113" s="36">
        <f t="shared" si="94"/>
        <v>4034.3166570286194</v>
      </c>
      <c r="O113" s="8">
        <f t="shared" si="68"/>
        <v>0</v>
      </c>
      <c r="P113" s="56">
        <f t="shared" si="43"/>
        <v>0</v>
      </c>
      <c r="Q113" s="60" t="str">
        <f t="shared" si="44"/>
        <v/>
      </c>
      <c r="R113" s="60" t="str">
        <f t="shared" si="45"/>
        <v/>
      </c>
      <c r="S113" s="60" t="str">
        <f t="shared" si="51"/>
        <v/>
      </c>
      <c r="T113" s="60" t="str">
        <f t="shared" si="52"/>
        <v/>
      </c>
      <c r="U113" s="39">
        <f t="shared" si="40"/>
        <v>4034.3166570286194</v>
      </c>
      <c r="V113" s="40">
        <f t="shared" si="95"/>
        <v>195.12503789144128</v>
      </c>
      <c r="W113" s="40">
        <f t="shared" si="82"/>
        <v>20.171583285143097</v>
      </c>
      <c r="X113" s="40">
        <f t="shared" si="41"/>
        <v>16.862484990853734</v>
      </c>
      <c r="Y113" s="40">
        <f>(X113*$D$42)-X113</f>
        <v>6.744993996341492</v>
      </c>
      <c r="Z113" s="42">
        <f t="shared" si="83"/>
        <v>4037.7525527306716</v>
      </c>
      <c r="AA113" s="42">
        <f t="shared" si="96"/>
        <v>3.4358957020522212</v>
      </c>
      <c r="AB113" s="40">
        <f t="shared" si="77"/>
        <v>198.43413618573064</v>
      </c>
      <c r="AC113" s="42">
        <f t="shared" si="84"/>
        <v>3.3090982942893561</v>
      </c>
      <c r="AD113" s="43">
        <f t="shared" si="87"/>
        <v>105.91666192297163</v>
      </c>
      <c r="AE113" s="42">
        <f t="shared" si="85"/>
        <v>4130.2700269934303</v>
      </c>
      <c r="AF113" s="43"/>
      <c r="AG113" s="44" t="e">
        <f t="shared" si="49"/>
        <v>#N/A</v>
      </c>
      <c r="AH113" s="45"/>
      <c r="AI113" s="46" t="str">
        <f t="shared" si="62"/>
        <v/>
      </c>
      <c r="AJ113" s="47">
        <f t="shared" si="88"/>
        <v>1.5162545646011706E-3</v>
      </c>
      <c r="AK113" s="34"/>
      <c r="AL113" s="22">
        <v>57</v>
      </c>
      <c r="AM113" s="8"/>
      <c r="AN113" s="8"/>
      <c r="AO113" s="8"/>
      <c r="AP113" s="8">
        <f>$M$5</f>
        <v>0</v>
      </c>
      <c r="AQ113" s="8"/>
      <c r="AR113" s="77" t="e">
        <f t="shared" si="42"/>
        <v>#N/A</v>
      </c>
      <c r="AS113" s="49">
        <v>5</v>
      </c>
      <c r="AT113" s="50">
        <f t="shared" si="89"/>
        <v>22500</v>
      </c>
      <c r="AU113" s="49">
        <v>20</v>
      </c>
      <c r="AV113" s="49">
        <f t="shared" si="90"/>
        <v>36000</v>
      </c>
      <c r="AW113" s="51">
        <f t="shared" si="91"/>
        <v>8.3500181462286776</v>
      </c>
      <c r="AX113" s="59">
        <v>0</v>
      </c>
      <c r="AY113" s="53">
        <f t="shared" si="92"/>
        <v>0</v>
      </c>
      <c r="AZ113" s="59">
        <v>24</v>
      </c>
      <c r="BA113" s="59">
        <f t="shared" si="98"/>
        <v>2155</v>
      </c>
      <c r="BB113" s="53">
        <v>20000</v>
      </c>
      <c r="BC113" s="53" t="e">
        <f t="shared" si="75"/>
        <v>#N/A</v>
      </c>
      <c r="BD113" s="52">
        <v>200</v>
      </c>
      <c r="BE113" s="88" t="s">
        <v>49</v>
      </c>
      <c r="BF113" s="91">
        <v>27</v>
      </c>
      <c r="BG113" s="76">
        <v>46339</v>
      </c>
    </row>
    <row r="114" spans="9:59" x14ac:dyDescent="0.2">
      <c r="I114" s="73">
        <v>46340</v>
      </c>
      <c r="J114" s="42">
        <v>60</v>
      </c>
      <c r="K114" s="83"/>
      <c r="L114" s="42">
        <f t="shared" si="93"/>
        <v>4130.2700269934303</v>
      </c>
      <c r="M114" s="35">
        <f t="shared" si="81"/>
        <v>200</v>
      </c>
      <c r="N114" s="36">
        <f t="shared" si="94"/>
        <v>4037.7525527306716</v>
      </c>
      <c r="O114" s="8">
        <f t="shared" si="68"/>
        <v>0</v>
      </c>
      <c r="P114" s="56">
        <f t="shared" si="43"/>
        <v>0</v>
      </c>
      <c r="Q114" s="60" t="str">
        <f t="shared" si="44"/>
        <v/>
      </c>
      <c r="R114" s="60" t="str">
        <f t="shared" si="45"/>
        <v/>
      </c>
      <c r="S114" s="60" t="str">
        <f t="shared" si="51"/>
        <v/>
      </c>
      <c r="T114" s="60" t="str">
        <f t="shared" si="52"/>
        <v/>
      </c>
      <c r="U114" s="39">
        <f t="shared" si="40"/>
        <v>4037.7525527306716</v>
      </c>
      <c r="V114" s="40">
        <f t="shared" si="95"/>
        <v>198.43413618573064</v>
      </c>
      <c r="W114" s="40">
        <f t="shared" si="82"/>
        <v>20.188762763653358</v>
      </c>
      <c r="X114" s="40">
        <f t="shared" si="41"/>
        <v>17.480186253643161</v>
      </c>
      <c r="Y114" s="40">
        <f>(X114*$E$27)-X114</f>
        <v>-17.480186253643161</v>
      </c>
      <c r="Z114" s="42">
        <f t="shared" si="83"/>
        <v>4017.5637899670182</v>
      </c>
      <c r="AA114" s="42">
        <f t="shared" si="96"/>
        <v>-20.188762763653358</v>
      </c>
      <c r="AB114" s="40">
        <f t="shared" si="77"/>
        <v>201.14271269574084</v>
      </c>
      <c r="AC114" s="42">
        <f t="shared" si="84"/>
        <v>2.7085765100102037</v>
      </c>
      <c r="AD114" s="43">
        <f t="shared" si="87"/>
        <v>106.18786969435973</v>
      </c>
      <c r="AE114" s="42">
        <f t="shared" si="85"/>
        <v>4112.5186329683993</v>
      </c>
      <c r="AF114" s="43">
        <f t="shared" ref="AF114" si="101">AD114</f>
        <v>106.18786969435973</v>
      </c>
      <c r="AG114" s="44" t="e">
        <f t="shared" si="49"/>
        <v>#N/A</v>
      </c>
      <c r="AH114" s="45">
        <f>IF($M$3="F",315*Z114/BB114,315*Z114/AV114)</f>
        <v>63.276629691980531</v>
      </c>
      <c r="AI114" s="46" t="str">
        <f t="shared" si="62"/>
        <v/>
      </c>
      <c r="AJ114" s="47">
        <f t="shared" si="88"/>
        <v>1.5730095022797751E-3</v>
      </c>
      <c r="AK114" s="34">
        <f>L114</f>
        <v>4130.2700269934303</v>
      </c>
      <c r="AL114" s="22">
        <v>57</v>
      </c>
      <c r="AM114" s="8"/>
      <c r="AN114" s="8">
        <f>$M$5</f>
        <v>0</v>
      </c>
      <c r="AO114" s="8"/>
      <c r="AP114" s="8"/>
      <c r="AQ114" s="8"/>
      <c r="AR114" s="77" t="e">
        <f t="shared" si="42"/>
        <v>#N/A</v>
      </c>
      <c r="AS114" s="49">
        <v>5</v>
      </c>
      <c r="AT114" s="50">
        <f t="shared" si="89"/>
        <v>22500</v>
      </c>
      <c r="AU114" s="49">
        <v>20</v>
      </c>
      <c r="AV114" s="49">
        <f t="shared" si="90"/>
        <v>36000</v>
      </c>
      <c r="AW114" s="51">
        <f t="shared" si="91"/>
        <v>8.3500181462286776</v>
      </c>
      <c r="AX114" s="59">
        <v>0</v>
      </c>
      <c r="AY114" s="53">
        <f t="shared" si="92"/>
        <v>0</v>
      </c>
      <c r="AZ114" s="59">
        <v>25</v>
      </c>
      <c r="BA114" s="59">
        <f t="shared" si="98"/>
        <v>2160</v>
      </c>
      <c r="BB114" s="53">
        <v>20000</v>
      </c>
      <c r="BC114" s="53" t="e">
        <f t="shared" si="75"/>
        <v>#N/A</v>
      </c>
      <c r="BD114" s="52">
        <v>200</v>
      </c>
      <c r="BE114" s="88" t="s">
        <v>49</v>
      </c>
      <c r="BF114" s="91">
        <v>28</v>
      </c>
      <c r="BG114" s="76">
        <v>46340</v>
      </c>
    </row>
  </sheetData>
  <mergeCells count="11">
    <mergeCell ref="L2:M2"/>
    <mergeCell ref="D44:D45"/>
    <mergeCell ref="B44:C45"/>
    <mergeCell ref="E41:H41"/>
    <mergeCell ref="B41:C41"/>
    <mergeCell ref="E44:H46"/>
    <mergeCell ref="AX40:BF40"/>
    <mergeCell ref="AS40:AW40"/>
    <mergeCell ref="K41:K50"/>
    <mergeCell ref="H51:I51"/>
    <mergeCell ref="K51:K5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The model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Randy Oliver</dc:creator>
  <cp:lastModifiedBy>Randy Oliver</cp:lastModifiedBy>
  <dcterms:created xsi:type="dcterms:W3CDTF">2026-01-24T19:07:39Z</dcterms:created>
  <dcterms:modified xsi:type="dcterms:W3CDTF">2026-01-25T00:19:53Z</dcterms:modified>
</cp:coreProperties>
</file>